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DIGOR\2 GEPAC\03 GESTÃO ORÇAMENTARIA\01 INFORMAÇÕES CONTÁBEIS\1 - Demonstrações_Relatórios Trimestrais e Balancetes\2020\2º Trimestre 2020 - DFs\"/>
    </mc:Choice>
  </mc:AlternateContent>
  <xr:revisionPtr revIDLastSave="0" documentId="13_ncr:1_{372E1631-9BA0-4E90-84BB-9A789C179C4C}" xr6:coauthVersionLast="45" xr6:coauthVersionMax="45" xr10:uidLastSave="{00000000-0000-0000-0000-000000000000}"/>
  <bookViews>
    <workbookView xWindow="-120" yWindow="-120" windowWidth="24240" windowHeight="13140" tabRatio="881" firstSheet="8" activeTab="8" xr2:uid="{00000000-000D-0000-FFFF-FFFF00000000}"/>
  </bookViews>
  <sheets>
    <sheet name="Balancete 2014" sheetId="40" state="hidden" r:id="rId1"/>
    <sheet name="Bal 2015 alt pl" sheetId="49" state="hidden" r:id="rId2"/>
    <sheet name="1 sem.15" sheetId="46" state="hidden" r:id="rId3"/>
    <sheet name="Balancete 2015" sheetId="15" state="hidden" r:id="rId4"/>
    <sheet name="Balancete 2016" sheetId="53" state="hidden" r:id="rId5"/>
    <sheet name="Balancete 2017" sheetId="58" state="hidden" r:id="rId6"/>
    <sheet name="Especificação - Patrimoniais " sheetId="35" state="hidden" r:id="rId7"/>
    <sheet name="Especificação - Resultado" sheetId="36" state="hidden" r:id="rId8"/>
    <sheet name="BP" sheetId="1" r:id="rId9"/>
    <sheet name="DRE" sheetId="2" r:id="rId10"/>
    <sheet name="DRA" sheetId="3" r:id="rId11"/>
    <sheet name="N2.1 cisão" sheetId="50" state="hidden" r:id="rId12"/>
    <sheet name="DMPL" sheetId="91" r:id="rId13"/>
    <sheet name="DFC" sheetId="45" r:id="rId14"/>
    <sheet name="DVA" sheetId="63" r:id="rId15"/>
    <sheet name="N5(e)" sheetId="39" state="hidden" r:id="rId16"/>
    <sheet name="N6(a)" sheetId="76" state="hidden" r:id="rId17"/>
    <sheet name="N10 " sheetId="24" state="hidden" r:id="rId18"/>
    <sheet name="N10 (e)" sheetId="51" state="hidden" r:id="rId19"/>
    <sheet name="N15 (d2)" sheetId="30" state="hidden" r:id="rId20"/>
    <sheet name="Outras desp adms" sheetId="27" state="hidden" r:id="rId21"/>
  </sheets>
  <externalReferences>
    <externalReference r:id="rId22"/>
  </externalReferences>
  <definedNames>
    <definedName name="_xlnm._FilterDatabase" localSheetId="14" hidden="1">DVA!$A$3:$D$41</definedName>
    <definedName name="_xlnm._FilterDatabase" localSheetId="6" hidden="1">'Especificação - Patrimoniais '!$A$1:$M$191</definedName>
    <definedName name="_xlnm._FilterDatabase" localSheetId="7" hidden="1">'Especificação - Resultado'!$A$1:$Q$189</definedName>
    <definedName name="COD_SINAF" localSheetId="12">[1]Aux!$B$38:$B$72</definedName>
    <definedName name="COD_SINAF" localSheetId="16">#REF!</definedName>
    <definedName name="COD_SINAF">#REF!</definedName>
    <definedName name="DF7436SR644_GECTCFGTS001_CXPAR_DISP" localSheetId="13" hidden="1">DFC!#REF!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9" l="1"/>
  <c r="F17" i="39" l="1"/>
  <c r="F6" i="76" l="1"/>
  <c r="F12" i="76"/>
  <c r="F9" i="3"/>
  <c r="U18" i="63"/>
  <c r="F13" i="76" l="1"/>
  <c r="G48" i="45"/>
  <c r="F11" i="3"/>
  <c r="F6" i="3"/>
  <c r="G44" i="45"/>
  <c r="G22" i="45"/>
  <c r="G7" i="45"/>
  <c r="N4" i="91" l="1"/>
  <c r="N5" i="91"/>
  <c r="G7" i="91"/>
  <c r="G6" i="91" s="1"/>
  <c r="G16" i="91" s="1"/>
  <c r="H7" i="91"/>
  <c r="H6" i="91" s="1"/>
  <c r="H16" i="91" s="1"/>
  <c r="I7" i="91"/>
  <c r="I6" i="91" s="1"/>
  <c r="I16" i="91" s="1"/>
  <c r="J7" i="91"/>
  <c r="J6" i="91" s="1"/>
  <c r="J16" i="91" s="1"/>
  <c r="K7" i="91"/>
  <c r="K6" i="91" s="1"/>
  <c r="K16" i="91" s="1"/>
  <c r="L7" i="91"/>
  <c r="L6" i="91" s="1"/>
  <c r="L16" i="91" s="1"/>
  <c r="M7" i="91"/>
  <c r="M6" i="91" s="1"/>
  <c r="M16" i="91" s="1"/>
  <c r="N8" i="91"/>
  <c r="N9" i="91"/>
  <c r="N10" i="91"/>
  <c r="N11" i="91"/>
  <c r="N12" i="91"/>
  <c r="N13" i="91"/>
  <c r="N14" i="91"/>
  <c r="N18" i="91"/>
  <c r="N19" i="91"/>
  <c r="G21" i="91"/>
  <c r="G20" i="91" s="1"/>
  <c r="G30" i="91" s="1"/>
  <c r="H21" i="91"/>
  <c r="H20" i="91" s="1"/>
  <c r="H30" i="91" s="1"/>
  <c r="I21" i="91"/>
  <c r="I20" i="91" s="1"/>
  <c r="I30" i="91" s="1"/>
  <c r="J21" i="91"/>
  <c r="J20" i="91" s="1"/>
  <c r="J30" i="91" s="1"/>
  <c r="K21" i="91"/>
  <c r="K20" i="91" s="1"/>
  <c r="K30" i="91" s="1"/>
  <c r="L21" i="91"/>
  <c r="L20" i="91" s="1"/>
  <c r="L30" i="91" s="1"/>
  <c r="M21" i="91"/>
  <c r="M20" i="91" s="1"/>
  <c r="M30" i="91" s="1"/>
  <c r="N22" i="91"/>
  <c r="N23" i="91"/>
  <c r="N24" i="91"/>
  <c r="N25" i="91"/>
  <c r="N26" i="91"/>
  <c r="N27" i="91"/>
  <c r="N28" i="91"/>
  <c r="D9" i="3"/>
  <c r="D6" i="3" l="1"/>
  <c r="D11" i="3"/>
  <c r="E44" i="45"/>
  <c r="E22" i="45"/>
  <c r="E7" i="45"/>
  <c r="E48" i="45"/>
  <c r="N21" i="91"/>
  <c r="N7" i="91"/>
  <c r="N20" i="91" l="1"/>
  <c r="N6" i="91"/>
  <c r="N30" i="91" l="1"/>
  <c r="N16" i="91"/>
  <c r="J6" i="39" l="1"/>
  <c r="I6" i="39"/>
  <c r="I5" i="39"/>
  <c r="J5" i="39"/>
  <c r="J8" i="39" l="1"/>
  <c r="H11" i="3" l="1"/>
  <c r="H9" i="3"/>
  <c r="H6" i="3" l="1"/>
  <c r="O5" i="39" l="1"/>
  <c r="O6" i="39" l="1"/>
  <c r="S5" i="39"/>
  <c r="S6" i="39"/>
  <c r="AH6" i="39" l="1"/>
  <c r="AH5" i="39"/>
  <c r="AI7" i="39"/>
  <c r="T8" i="39" l="1"/>
  <c r="S8" i="39" l="1"/>
  <c r="AM6" i="39" l="1"/>
  <c r="AM5" i="39"/>
  <c r="AR6" i="39"/>
  <c r="AR5" i="39"/>
  <c r="AW6" i="39"/>
  <c r="AW5" i="39"/>
  <c r="X6" i="39"/>
  <c r="X5" i="39"/>
  <c r="AN8" i="39"/>
  <c r="AC6" i="39"/>
  <c r="AC5" i="39"/>
  <c r="AD8" i="39"/>
  <c r="X8" i="39" l="1"/>
  <c r="AR8" i="39"/>
  <c r="AW8" i="39"/>
  <c r="AM8" i="39"/>
  <c r="AC8" i="39"/>
  <c r="AS8" i="39"/>
  <c r="AX8" i="39"/>
  <c r="Y8" i="39" l="1"/>
  <c r="BC8" i="39" l="1"/>
  <c r="BA7" i="39"/>
  <c r="BD7" i="39" s="1"/>
  <c r="AG7" i="39" s="1"/>
  <c r="AJ7" i="39" s="1"/>
  <c r="C7" i="39" s="1"/>
  <c r="BD5" i="39"/>
  <c r="AG5" i="39" s="1"/>
  <c r="AH8" i="39"/>
  <c r="BB6" i="39"/>
  <c r="BD6" i="39" s="1"/>
  <c r="AG6" i="39" s="1"/>
  <c r="E7" i="39" l="1"/>
  <c r="F7" i="39"/>
  <c r="M7" i="39"/>
  <c r="H7" i="39"/>
  <c r="AI5" i="39"/>
  <c r="BO5" i="39" s="1"/>
  <c r="AI6" i="39"/>
  <c r="BO6" i="39" s="1"/>
  <c r="AQ7" i="39"/>
  <c r="AT7" i="39" s="1"/>
  <c r="AV7" i="39"/>
  <c r="AY7" i="39" s="1"/>
  <c r="AL7" i="39"/>
  <c r="AV6" i="39"/>
  <c r="AY6" i="39" s="1"/>
  <c r="AQ6" i="39"/>
  <c r="AT6" i="39" s="1"/>
  <c r="AL6" i="39"/>
  <c r="AV5" i="39"/>
  <c r="AQ5" i="39"/>
  <c r="AL5" i="39"/>
  <c r="I7" i="39" l="1"/>
  <c r="I8" i="39" s="1"/>
  <c r="AJ6" i="39"/>
  <c r="M6" i="39" s="1"/>
  <c r="AJ5" i="39"/>
  <c r="M5" i="39" s="1"/>
  <c r="R7" i="39"/>
  <c r="U7" i="39" s="1"/>
  <c r="AO6" i="39"/>
  <c r="W7" i="39"/>
  <c r="AB7" i="39"/>
  <c r="AE7" i="39" s="1"/>
  <c r="AV8" i="39"/>
  <c r="AY5" i="39"/>
  <c r="AY8" i="39" s="1"/>
  <c r="AO7" i="39"/>
  <c r="AT5" i="39"/>
  <c r="AT8" i="39" s="1"/>
  <c r="AQ8" i="39"/>
  <c r="AL8" i="39"/>
  <c r="AO5" i="39"/>
  <c r="AO8" i="39" s="1"/>
  <c r="N5" i="39" l="1"/>
  <c r="P5" i="39" s="1"/>
  <c r="C5" i="39" s="1"/>
  <c r="N6" i="39"/>
  <c r="P6" i="39" s="1"/>
  <c r="K7" i="39"/>
  <c r="AJ8" i="39"/>
  <c r="O7" i="39"/>
  <c r="P7" i="39" s="1"/>
  <c r="Z7" i="39"/>
  <c r="H6" i="39" l="1"/>
  <c r="K6" i="39" s="1"/>
  <c r="C6" i="39"/>
  <c r="N8" i="39"/>
  <c r="P8" i="39"/>
  <c r="C8" i="39" l="1"/>
  <c r="BA8" i="39"/>
  <c r="BB8" i="39"/>
  <c r="D5" i="39" l="1"/>
  <c r="E5" i="39"/>
  <c r="F5" i="39" s="1"/>
  <c r="D6" i="39"/>
  <c r="E6" i="39"/>
  <c r="BD8" i="39"/>
  <c r="AG8" i="39"/>
  <c r="F6" i="39" l="1"/>
  <c r="R6" i="39"/>
  <c r="U6" i="39" s="1"/>
  <c r="R5" i="39"/>
  <c r="U5" i="39" s="1"/>
  <c r="AB6" i="39"/>
  <c r="W6" i="39"/>
  <c r="W5" i="39"/>
  <c r="AB5" i="39"/>
  <c r="AE5" i="39" s="1"/>
  <c r="AE6" i="39"/>
  <c r="AI8" i="39"/>
  <c r="U8" i="39" l="1"/>
  <c r="R8" i="39"/>
  <c r="H5" i="39"/>
  <c r="K5" i="39" s="1"/>
  <c r="K8" i="39" s="1"/>
  <c r="M8" i="39"/>
  <c r="Z6" i="39"/>
  <c r="AB8" i="39"/>
  <c r="AE8" i="39"/>
  <c r="H8" i="39" l="1"/>
  <c r="O8" i="39"/>
  <c r="Z5" i="39"/>
  <c r="Z8" i="39" s="1"/>
  <c r="W8" i="39"/>
  <c r="D6" i="51"/>
  <c r="D3" i="51"/>
  <c r="D11" i="51" l="1"/>
  <c r="D20" i="24"/>
  <c r="D14" i="24"/>
  <c r="D16" i="24" s="1"/>
  <c r="I174" i="36" l="1"/>
  <c r="I175" i="36"/>
  <c r="I176" i="36"/>
  <c r="I177" i="36"/>
  <c r="I178" i="36"/>
  <c r="I179" i="36"/>
  <c r="I180" i="36"/>
  <c r="I3" i="36"/>
  <c r="I4" i="36"/>
  <c r="I5" i="36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I127" i="36"/>
  <c r="I128" i="36"/>
  <c r="I129" i="36"/>
  <c r="I130" i="36"/>
  <c r="I131" i="36"/>
  <c r="I132" i="36"/>
  <c r="I133" i="36"/>
  <c r="I134" i="36"/>
  <c r="I135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8" i="36"/>
  <c r="I149" i="36"/>
  <c r="I150" i="36"/>
  <c r="I151" i="36"/>
  <c r="I152" i="36"/>
  <c r="I153" i="36"/>
  <c r="I154" i="36"/>
  <c r="I155" i="36"/>
  <c r="I156" i="36"/>
  <c r="I157" i="36"/>
  <c r="I158" i="36"/>
  <c r="I159" i="36"/>
  <c r="I160" i="36"/>
  <c r="I161" i="36"/>
  <c r="I162" i="36"/>
  <c r="I163" i="36"/>
  <c r="I164" i="36"/>
  <c r="I165" i="36"/>
  <c r="I166" i="36"/>
  <c r="I167" i="36"/>
  <c r="I168" i="36"/>
  <c r="I169" i="36"/>
  <c r="I170" i="36"/>
  <c r="I171" i="36"/>
  <c r="I172" i="36"/>
  <c r="I173" i="36"/>
  <c r="I181" i="36"/>
  <c r="I182" i="36"/>
  <c r="I183" i="36"/>
  <c r="I184" i="36"/>
  <c r="I185" i="36"/>
  <c r="I186" i="36"/>
  <c r="I187" i="36"/>
  <c r="I188" i="36"/>
  <c r="I189" i="36"/>
  <c r="I2" i="36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0" i="35"/>
  <c r="H191" i="35"/>
  <c r="H3" i="35"/>
  <c r="H4" i="35"/>
  <c r="H5" i="35"/>
  <c r="H2" i="35"/>
  <c r="D2" i="35"/>
  <c r="M270" i="46" l="1"/>
  <c r="D3" i="24" l="1"/>
  <c r="D5" i="24" s="1"/>
  <c r="D9" i="24" s="1"/>
  <c r="H274" i="46"/>
  <c r="H273" i="46"/>
  <c r="I273" i="46" s="1"/>
  <c r="H272" i="46"/>
  <c r="I272" i="46" s="1"/>
  <c r="H271" i="46"/>
  <c r="I271" i="46" s="1"/>
  <c r="G290" i="49"/>
  <c r="L273" i="49" l="1"/>
  <c r="L272" i="49"/>
  <c r="G301" i="49"/>
  <c r="G291" i="49"/>
  <c r="G293" i="49" s="1"/>
  <c r="G297" i="49"/>
  <c r="G298" i="49" s="1"/>
  <c r="O290" i="49" l="1"/>
  <c r="F291" i="46"/>
  <c r="H299" i="46" s="1"/>
  <c r="F287" i="49"/>
  <c r="G291" i="46" l="1"/>
  <c r="F9" i="50"/>
  <c r="E8" i="24"/>
  <c r="K9" i="15" l="1"/>
  <c r="D254" i="15" l="1"/>
  <c r="D253" i="15"/>
  <c r="D252" i="15"/>
  <c r="BG6" i="39" l="1"/>
  <c r="F22" i="50" l="1"/>
  <c r="F15" i="50" l="1"/>
  <c r="G9" i="50"/>
  <c r="I8" i="50"/>
  <c r="F237" i="15" l="1"/>
  <c r="F238" i="15" s="1"/>
  <c r="F240" i="15" s="1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F214" i="15" s="1"/>
  <c r="E215" i="15"/>
  <c r="F215" i="15" s="1"/>
  <c r="E216" i="15"/>
  <c r="F216" i="15" s="1"/>
  <c r="E217" i="15"/>
  <c r="F217" i="15" s="1"/>
  <c r="E218" i="15"/>
  <c r="F218" i="15" s="1"/>
  <c r="E219" i="15"/>
  <c r="F219" i="15" s="1"/>
  <c r="E220" i="15"/>
  <c r="F220" i="15" s="1"/>
  <c r="E221" i="15"/>
  <c r="E222" i="15"/>
  <c r="E223" i="15"/>
  <c r="E224" i="15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F255" i="15" s="1"/>
  <c r="E256" i="15"/>
  <c r="F256" i="15" s="1"/>
  <c r="E257" i="15"/>
  <c r="F257" i="15" s="1"/>
  <c r="E258" i="15"/>
  <c r="F258" i="15" s="1"/>
  <c r="E259" i="15"/>
  <c r="F259" i="15" s="1"/>
  <c r="E260" i="15"/>
  <c r="F260" i="15" s="1"/>
  <c r="E261" i="15"/>
  <c r="F261" i="15" s="1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G205" i="15" l="1"/>
  <c r="G218" i="15"/>
  <c r="F250" i="15"/>
  <c r="E8" i="15" l="1"/>
  <c r="E304" i="49"/>
  <c r="E303" i="49"/>
  <c r="E302" i="49"/>
  <c r="E301" i="49"/>
  <c r="E300" i="49"/>
  <c r="E299" i="49"/>
  <c r="E298" i="49"/>
  <c r="E297" i="49"/>
  <c r="E296" i="49"/>
  <c r="E295" i="49"/>
  <c r="E294" i="49"/>
  <c r="E293" i="49"/>
  <c r="E292" i="49"/>
  <c r="E291" i="49"/>
  <c r="E290" i="49"/>
  <c r="E289" i="49"/>
  <c r="E288" i="49"/>
  <c r="E287" i="49"/>
  <c r="E286" i="49"/>
  <c r="E285" i="49"/>
  <c r="E284" i="49"/>
  <c r="E283" i="49"/>
  <c r="E282" i="49"/>
  <c r="E281" i="49"/>
  <c r="E280" i="49"/>
  <c r="E279" i="49"/>
  <c r="E278" i="49"/>
  <c r="E277" i="49"/>
  <c r="E276" i="49"/>
  <c r="E275" i="49"/>
  <c r="E274" i="49"/>
  <c r="E273" i="49"/>
  <c r="E272" i="49"/>
  <c r="E271" i="49"/>
  <c r="E270" i="49"/>
  <c r="J270" i="49" s="1"/>
  <c r="E269" i="49"/>
  <c r="J269" i="49" s="1"/>
  <c r="E268" i="49"/>
  <c r="J268" i="49" s="1"/>
  <c r="E267" i="49"/>
  <c r="J267" i="49" s="1"/>
  <c r="E266" i="49"/>
  <c r="J266" i="49" s="1"/>
  <c r="E265" i="49"/>
  <c r="J265" i="49" s="1"/>
  <c r="E264" i="49"/>
  <c r="J264" i="49" s="1"/>
  <c r="E263" i="49"/>
  <c r="J263" i="49" s="1"/>
  <c r="E262" i="49"/>
  <c r="J262" i="49" s="1"/>
  <c r="E261" i="49"/>
  <c r="J261" i="49" s="1"/>
  <c r="E260" i="49"/>
  <c r="J260" i="49" s="1"/>
  <c r="E259" i="49"/>
  <c r="J259" i="49" s="1"/>
  <c r="E258" i="49"/>
  <c r="J258" i="49" s="1"/>
  <c r="E257" i="49"/>
  <c r="J257" i="49" s="1"/>
  <c r="E256" i="49"/>
  <c r="J256" i="49" s="1"/>
  <c r="E255" i="49"/>
  <c r="J255" i="49" s="1"/>
  <c r="E254" i="49"/>
  <c r="J254" i="49" s="1"/>
  <c r="E253" i="49"/>
  <c r="D253" i="49"/>
  <c r="E252" i="49"/>
  <c r="D252" i="49"/>
  <c r="E251" i="49"/>
  <c r="D251" i="49"/>
  <c r="E250" i="49"/>
  <c r="D250" i="49"/>
  <c r="E249" i="49"/>
  <c r="D249" i="49"/>
  <c r="E248" i="49"/>
  <c r="D248" i="49"/>
  <c r="E247" i="49"/>
  <c r="J246" i="49"/>
  <c r="J245" i="49"/>
  <c r="J244" i="49"/>
  <c r="E243" i="49"/>
  <c r="J243" i="49" s="1"/>
  <c r="E242" i="49"/>
  <c r="J242" i="49" s="1"/>
  <c r="E241" i="49"/>
  <c r="J241" i="49" s="1"/>
  <c r="E240" i="49"/>
  <c r="J240" i="49" s="1"/>
  <c r="E239" i="49"/>
  <c r="J239" i="49" s="1"/>
  <c r="D239" i="49"/>
  <c r="E238" i="49"/>
  <c r="D238" i="49"/>
  <c r="E237" i="49"/>
  <c r="J237" i="49" s="1"/>
  <c r="E236" i="49"/>
  <c r="J236" i="49" s="1"/>
  <c r="E235" i="49"/>
  <c r="J235" i="49" s="1"/>
  <c r="E234" i="49"/>
  <c r="J234" i="49" s="1"/>
  <c r="E233" i="49"/>
  <c r="J233" i="49" s="1"/>
  <c r="E232" i="49"/>
  <c r="J232" i="49" s="1"/>
  <c r="E231" i="49"/>
  <c r="J231" i="49" s="1"/>
  <c r="E230" i="49"/>
  <c r="J230" i="49" s="1"/>
  <c r="E229" i="49"/>
  <c r="J229" i="49" s="1"/>
  <c r="E228" i="49"/>
  <c r="J228" i="49" s="1"/>
  <c r="E227" i="49"/>
  <c r="J227" i="49" s="1"/>
  <c r="E226" i="49"/>
  <c r="J226" i="49" s="1"/>
  <c r="E225" i="49"/>
  <c r="J225" i="49" s="1"/>
  <c r="E224" i="49"/>
  <c r="J224" i="49" s="1"/>
  <c r="E223" i="49"/>
  <c r="J223" i="49" s="1"/>
  <c r="E222" i="49"/>
  <c r="J222" i="49" s="1"/>
  <c r="E221" i="49"/>
  <c r="J221" i="49" s="1"/>
  <c r="M220" i="49"/>
  <c r="E220" i="49"/>
  <c r="J220" i="49" s="1"/>
  <c r="E219" i="49"/>
  <c r="J219" i="49" s="1"/>
  <c r="E218" i="49"/>
  <c r="J218" i="49" s="1"/>
  <c r="M217" i="49"/>
  <c r="E217" i="49"/>
  <c r="J217" i="49" s="1"/>
  <c r="E216" i="49"/>
  <c r="J216" i="49" s="1"/>
  <c r="E215" i="49"/>
  <c r="J215" i="49" s="1"/>
  <c r="E214" i="49"/>
  <c r="J214" i="49" s="1"/>
  <c r="E213" i="49"/>
  <c r="J213" i="49" s="1"/>
  <c r="E212" i="49"/>
  <c r="J212" i="49" s="1"/>
  <c r="E211" i="49"/>
  <c r="J211" i="49" s="1"/>
  <c r="E210" i="49"/>
  <c r="J210" i="49" s="1"/>
  <c r="E209" i="49"/>
  <c r="J209" i="49" s="1"/>
  <c r="E208" i="49"/>
  <c r="J208" i="49" s="1"/>
  <c r="E207" i="49"/>
  <c r="J207" i="49" s="1"/>
  <c r="E206" i="49"/>
  <c r="J206" i="49" s="1"/>
  <c r="E205" i="49"/>
  <c r="J205" i="49" s="1"/>
  <c r="E204" i="49"/>
  <c r="J204" i="49" s="1"/>
  <c r="E203" i="49"/>
  <c r="J203" i="49" s="1"/>
  <c r="E202" i="49"/>
  <c r="H202" i="49" s="1"/>
  <c r="E201" i="49"/>
  <c r="J201" i="49" s="1"/>
  <c r="E200" i="49"/>
  <c r="J200" i="49" s="1"/>
  <c r="E199" i="49"/>
  <c r="J199" i="49" s="1"/>
  <c r="E198" i="49"/>
  <c r="J198" i="49" s="1"/>
  <c r="E197" i="49"/>
  <c r="J197" i="49" s="1"/>
  <c r="E196" i="49"/>
  <c r="J196" i="49" s="1"/>
  <c r="E195" i="49"/>
  <c r="J195" i="49" s="1"/>
  <c r="E194" i="49"/>
  <c r="J194" i="49" s="1"/>
  <c r="E193" i="49"/>
  <c r="J193" i="49" s="1"/>
  <c r="E192" i="49"/>
  <c r="J192" i="49" s="1"/>
  <c r="E191" i="49"/>
  <c r="J191" i="49" s="1"/>
  <c r="E190" i="49"/>
  <c r="J190" i="49" s="1"/>
  <c r="E189" i="49"/>
  <c r="J189" i="49" s="1"/>
  <c r="E188" i="49"/>
  <c r="J188" i="49" s="1"/>
  <c r="E187" i="49"/>
  <c r="J187" i="49" s="1"/>
  <c r="E186" i="49"/>
  <c r="J186" i="49" s="1"/>
  <c r="E185" i="49"/>
  <c r="J185" i="49" s="1"/>
  <c r="E184" i="49"/>
  <c r="J184" i="49" s="1"/>
  <c r="E183" i="49"/>
  <c r="J183" i="49" s="1"/>
  <c r="E182" i="49"/>
  <c r="J182" i="49" s="1"/>
  <c r="E181" i="49"/>
  <c r="J181" i="49" s="1"/>
  <c r="E180" i="49"/>
  <c r="J180" i="49" s="1"/>
  <c r="E179" i="49"/>
  <c r="J179" i="49" s="1"/>
  <c r="E178" i="49"/>
  <c r="J178" i="49" s="1"/>
  <c r="E177" i="49"/>
  <c r="J177" i="49" s="1"/>
  <c r="E176" i="49"/>
  <c r="J176" i="49" s="1"/>
  <c r="E175" i="49"/>
  <c r="J175" i="49" s="1"/>
  <c r="E174" i="49"/>
  <c r="J174" i="49" s="1"/>
  <c r="E173" i="49"/>
  <c r="J173" i="49" s="1"/>
  <c r="E172" i="49"/>
  <c r="J172" i="49" s="1"/>
  <c r="E171" i="49"/>
  <c r="J171" i="49" s="1"/>
  <c r="E170" i="49"/>
  <c r="J170" i="49" s="1"/>
  <c r="E169" i="49"/>
  <c r="J169" i="49" s="1"/>
  <c r="E168" i="49"/>
  <c r="J168" i="49" s="1"/>
  <c r="E167" i="49"/>
  <c r="J167" i="49" s="1"/>
  <c r="E166" i="49"/>
  <c r="J166" i="49" s="1"/>
  <c r="E165" i="49"/>
  <c r="J165" i="49" s="1"/>
  <c r="E164" i="49"/>
  <c r="J164" i="49" s="1"/>
  <c r="E163" i="49"/>
  <c r="J163" i="49" s="1"/>
  <c r="E162" i="49"/>
  <c r="J162" i="49" s="1"/>
  <c r="E161" i="49"/>
  <c r="J161" i="49" s="1"/>
  <c r="E160" i="49"/>
  <c r="J160" i="49" s="1"/>
  <c r="E159" i="49"/>
  <c r="J159" i="49" s="1"/>
  <c r="E158" i="49"/>
  <c r="J158" i="49" s="1"/>
  <c r="E157" i="49"/>
  <c r="J157" i="49" s="1"/>
  <c r="E156" i="49"/>
  <c r="J156" i="49" s="1"/>
  <c r="E155" i="49"/>
  <c r="J155" i="49" s="1"/>
  <c r="E154" i="49"/>
  <c r="J154" i="49" s="1"/>
  <c r="E153" i="49"/>
  <c r="J153" i="49" s="1"/>
  <c r="E152" i="49"/>
  <c r="J152" i="49" s="1"/>
  <c r="E151" i="49"/>
  <c r="J151" i="49" s="1"/>
  <c r="E150" i="49"/>
  <c r="J150" i="49" s="1"/>
  <c r="E149" i="49"/>
  <c r="J149" i="49" s="1"/>
  <c r="E148" i="49"/>
  <c r="J148" i="49" s="1"/>
  <c r="E147" i="49"/>
  <c r="J147" i="49" s="1"/>
  <c r="E146" i="49"/>
  <c r="J146" i="49" s="1"/>
  <c r="E145" i="49"/>
  <c r="J145" i="49" s="1"/>
  <c r="E144" i="49"/>
  <c r="J144" i="49" s="1"/>
  <c r="E143" i="49"/>
  <c r="J143" i="49" s="1"/>
  <c r="E142" i="49"/>
  <c r="J142" i="49" s="1"/>
  <c r="E141" i="49"/>
  <c r="J141" i="49" s="1"/>
  <c r="E140" i="49"/>
  <c r="J140" i="49" s="1"/>
  <c r="E139" i="49"/>
  <c r="J139" i="49" s="1"/>
  <c r="E138" i="49"/>
  <c r="J138" i="49" s="1"/>
  <c r="E137" i="49"/>
  <c r="J137" i="49" s="1"/>
  <c r="E136" i="49"/>
  <c r="J136" i="49" s="1"/>
  <c r="E135" i="49"/>
  <c r="J135" i="49" s="1"/>
  <c r="E134" i="49"/>
  <c r="J134" i="49" s="1"/>
  <c r="E133" i="49"/>
  <c r="J133" i="49" s="1"/>
  <c r="E132" i="49"/>
  <c r="J132" i="49" s="1"/>
  <c r="E131" i="49"/>
  <c r="J131" i="49" s="1"/>
  <c r="E130" i="49"/>
  <c r="J130" i="49" s="1"/>
  <c r="E129" i="49"/>
  <c r="J129" i="49" s="1"/>
  <c r="E128" i="49"/>
  <c r="J128" i="49" s="1"/>
  <c r="E127" i="49"/>
  <c r="J127" i="49" s="1"/>
  <c r="E126" i="49"/>
  <c r="J126" i="49" s="1"/>
  <c r="E125" i="49"/>
  <c r="J125" i="49" s="1"/>
  <c r="E124" i="49"/>
  <c r="J124" i="49" s="1"/>
  <c r="E123" i="49"/>
  <c r="J123" i="49" s="1"/>
  <c r="E122" i="49"/>
  <c r="J122" i="49" s="1"/>
  <c r="E121" i="49"/>
  <c r="J121" i="49" s="1"/>
  <c r="E120" i="49"/>
  <c r="J120" i="49" s="1"/>
  <c r="E119" i="49"/>
  <c r="J119" i="49" s="1"/>
  <c r="E118" i="49"/>
  <c r="J118" i="49" s="1"/>
  <c r="E117" i="49"/>
  <c r="J117" i="49" s="1"/>
  <c r="E116" i="49"/>
  <c r="J116" i="49" s="1"/>
  <c r="E115" i="49"/>
  <c r="J115" i="49" s="1"/>
  <c r="E114" i="49"/>
  <c r="J114" i="49" s="1"/>
  <c r="E113" i="49"/>
  <c r="J113" i="49" s="1"/>
  <c r="E112" i="49"/>
  <c r="J112" i="49" s="1"/>
  <c r="E111" i="49"/>
  <c r="J111" i="49" s="1"/>
  <c r="E110" i="49"/>
  <c r="J110" i="49" s="1"/>
  <c r="E109" i="49"/>
  <c r="J109" i="49" s="1"/>
  <c r="E108" i="49"/>
  <c r="J108" i="49" s="1"/>
  <c r="E107" i="49"/>
  <c r="J107" i="49" s="1"/>
  <c r="E106" i="49"/>
  <c r="J106" i="49" s="1"/>
  <c r="E105" i="49"/>
  <c r="J105" i="49" s="1"/>
  <c r="E104" i="49"/>
  <c r="J104" i="49" s="1"/>
  <c r="E103" i="49"/>
  <c r="J103" i="49" s="1"/>
  <c r="E102" i="49"/>
  <c r="J102" i="49" s="1"/>
  <c r="E101" i="49"/>
  <c r="J101" i="49" s="1"/>
  <c r="E100" i="49"/>
  <c r="J100" i="49" s="1"/>
  <c r="E99" i="49"/>
  <c r="J99" i="49" s="1"/>
  <c r="E98" i="49"/>
  <c r="J98" i="49" s="1"/>
  <c r="E97" i="49"/>
  <c r="J97" i="49" s="1"/>
  <c r="E96" i="49"/>
  <c r="J96" i="49" s="1"/>
  <c r="E95" i="49"/>
  <c r="J95" i="49" s="1"/>
  <c r="E94" i="49"/>
  <c r="J94" i="49" s="1"/>
  <c r="E93" i="49"/>
  <c r="J93" i="49" s="1"/>
  <c r="H92" i="49"/>
  <c r="E92" i="49"/>
  <c r="J92" i="49" s="1"/>
  <c r="E91" i="49"/>
  <c r="J91" i="49" s="1"/>
  <c r="E90" i="49"/>
  <c r="J90" i="49" s="1"/>
  <c r="E89" i="49"/>
  <c r="J89" i="49" s="1"/>
  <c r="E88" i="49"/>
  <c r="J88" i="49" s="1"/>
  <c r="E87" i="49"/>
  <c r="J87" i="49" s="1"/>
  <c r="E86" i="49"/>
  <c r="J86" i="49" s="1"/>
  <c r="E85" i="49"/>
  <c r="J85" i="49" s="1"/>
  <c r="E84" i="49"/>
  <c r="J84" i="49" s="1"/>
  <c r="E83" i="49"/>
  <c r="J83" i="49" s="1"/>
  <c r="E82" i="49"/>
  <c r="J82" i="49" s="1"/>
  <c r="E81" i="49"/>
  <c r="J81" i="49" s="1"/>
  <c r="E80" i="49"/>
  <c r="J80" i="49" s="1"/>
  <c r="E79" i="49"/>
  <c r="J79" i="49" s="1"/>
  <c r="E78" i="49"/>
  <c r="J78" i="49" s="1"/>
  <c r="E77" i="49"/>
  <c r="J77" i="49" s="1"/>
  <c r="E76" i="49"/>
  <c r="J76" i="49" s="1"/>
  <c r="E75" i="49"/>
  <c r="J75" i="49" s="1"/>
  <c r="E74" i="49"/>
  <c r="J74" i="49" s="1"/>
  <c r="E73" i="49"/>
  <c r="J73" i="49" s="1"/>
  <c r="E72" i="49"/>
  <c r="J72" i="49" s="1"/>
  <c r="E71" i="49"/>
  <c r="J71" i="49" s="1"/>
  <c r="E70" i="49"/>
  <c r="J70" i="49" s="1"/>
  <c r="E69" i="49"/>
  <c r="J69" i="49" s="1"/>
  <c r="E68" i="49"/>
  <c r="J68" i="49" s="1"/>
  <c r="E67" i="49"/>
  <c r="J67" i="49" s="1"/>
  <c r="E66" i="49"/>
  <c r="J66" i="49" s="1"/>
  <c r="E65" i="49"/>
  <c r="J65" i="49" s="1"/>
  <c r="E64" i="49"/>
  <c r="J64" i="49" s="1"/>
  <c r="E63" i="49"/>
  <c r="J63" i="49" s="1"/>
  <c r="E62" i="49"/>
  <c r="J62" i="49" s="1"/>
  <c r="E61" i="49"/>
  <c r="J61" i="49" s="1"/>
  <c r="E60" i="49"/>
  <c r="J60" i="49" s="1"/>
  <c r="E59" i="49"/>
  <c r="J59" i="49" s="1"/>
  <c r="E58" i="49"/>
  <c r="J58" i="49" s="1"/>
  <c r="E57" i="49"/>
  <c r="J57" i="49" s="1"/>
  <c r="E56" i="49"/>
  <c r="J56" i="49" s="1"/>
  <c r="E55" i="49"/>
  <c r="J55" i="49" s="1"/>
  <c r="E54" i="49"/>
  <c r="J54" i="49" s="1"/>
  <c r="E53" i="49"/>
  <c r="J53" i="49" s="1"/>
  <c r="E52" i="49"/>
  <c r="J52" i="49" s="1"/>
  <c r="E51" i="49"/>
  <c r="J51" i="49" s="1"/>
  <c r="E50" i="49"/>
  <c r="J50" i="49" s="1"/>
  <c r="E49" i="49"/>
  <c r="J49" i="49" s="1"/>
  <c r="E48" i="49"/>
  <c r="J48" i="49" s="1"/>
  <c r="E47" i="49"/>
  <c r="J47" i="49" s="1"/>
  <c r="E46" i="49"/>
  <c r="J46" i="49" s="1"/>
  <c r="E45" i="49"/>
  <c r="J45" i="49" s="1"/>
  <c r="E44" i="49"/>
  <c r="J44" i="49" s="1"/>
  <c r="E43" i="49"/>
  <c r="J43" i="49" s="1"/>
  <c r="E42" i="49"/>
  <c r="J42" i="49" s="1"/>
  <c r="E41" i="49"/>
  <c r="J41" i="49" s="1"/>
  <c r="E40" i="49"/>
  <c r="J40" i="49" s="1"/>
  <c r="E39" i="49"/>
  <c r="J39" i="49" s="1"/>
  <c r="E38" i="49"/>
  <c r="J38" i="49" s="1"/>
  <c r="E37" i="49"/>
  <c r="J37" i="49" s="1"/>
  <c r="E36" i="49"/>
  <c r="J36" i="49" s="1"/>
  <c r="E35" i="49"/>
  <c r="J35" i="49" s="1"/>
  <c r="E34" i="49"/>
  <c r="J34" i="49" s="1"/>
  <c r="E33" i="49"/>
  <c r="H33" i="49" s="1"/>
  <c r="E32" i="49"/>
  <c r="J32" i="49" s="1"/>
  <c r="E31" i="49"/>
  <c r="J31" i="49" s="1"/>
  <c r="E30" i="49"/>
  <c r="J30" i="49" s="1"/>
  <c r="E29" i="49"/>
  <c r="J29" i="49" s="1"/>
  <c r="E28" i="49"/>
  <c r="J28" i="49" s="1"/>
  <c r="E27" i="49"/>
  <c r="J27" i="49" s="1"/>
  <c r="E26" i="49"/>
  <c r="J26" i="49" s="1"/>
  <c r="E25" i="49"/>
  <c r="J25" i="49" s="1"/>
  <c r="E24" i="49"/>
  <c r="J24" i="49" s="1"/>
  <c r="E23" i="49"/>
  <c r="J23" i="49" s="1"/>
  <c r="E22" i="49"/>
  <c r="J22" i="49" s="1"/>
  <c r="E21" i="49"/>
  <c r="J21" i="49" s="1"/>
  <c r="E20" i="49"/>
  <c r="J20" i="49" s="1"/>
  <c r="E19" i="49"/>
  <c r="J19" i="49" s="1"/>
  <c r="E18" i="49"/>
  <c r="J18" i="49" s="1"/>
  <c r="E17" i="49"/>
  <c r="E16" i="49"/>
  <c r="E15" i="49"/>
  <c r="E14" i="49"/>
  <c r="E13" i="49"/>
  <c r="E12" i="49"/>
  <c r="E11" i="49"/>
  <c r="L10" i="49"/>
  <c r="E10" i="49"/>
  <c r="L9" i="49"/>
  <c r="E9" i="49"/>
  <c r="E8" i="49"/>
  <c r="E7" i="49"/>
  <c r="L11" i="49" l="1"/>
  <c r="J238" i="49"/>
  <c r="M11" i="49"/>
  <c r="M221" i="49"/>
  <c r="K248" i="49"/>
  <c r="J202" i="49"/>
  <c r="J250" i="49"/>
  <c r="J251" i="49"/>
  <c r="J252" i="49"/>
  <c r="K39" i="49"/>
  <c r="L39" i="49" s="1"/>
  <c r="L253" i="49"/>
  <c r="L254" i="49" s="1"/>
  <c r="J249" i="49"/>
  <c r="J253" i="49"/>
  <c r="L12" i="49"/>
  <c r="L13" i="49"/>
  <c r="J33" i="49"/>
  <c r="J248" i="49"/>
  <c r="D247" i="49"/>
  <c r="J247" i="49" s="1"/>
  <c r="L14" i="49" l="1"/>
  <c r="L15" i="49"/>
  <c r="I244" i="15" l="1"/>
  <c r="I245" i="15"/>
  <c r="I246" i="15"/>
  <c r="I263" i="15" l="1"/>
  <c r="I264" i="15"/>
  <c r="I265" i="15"/>
  <c r="I266" i="15"/>
  <c r="I267" i="15"/>
  <c r="I268" i="15"/>
  <c r="I269" i="15"/>
  <c r="I270" i="15"/>
  <c r="E9" i="24" l="1"/>
  <c r="I199" i="15" l="1"/>
  <c r="I200" i="15"/>
  <c r="I201" i="15"/>
  <c r="I202" i="15" l="1"/>
  <c r="G202" i="15"/>
  <c r="K10" i="15"/>
  <c r="K11" i="15" l="1"/>
  <c r="K12" i="15" s="1"/>
  <c r="K13" i="15" s="1"/>
  <c r="L11" i="15"/>
  <c r="K14" i="15" l="1"/>
  <c r="K15" i="15" s="1"/>
  <c r="N73" i="36" l="1"/>
  <c r="N74" i="36"/>
  <c r="N72" i="36"/>
  <c r="D71" i="36"/>
  <c r="D78" i="36"/>
  <c r="D79" i="36"/>
  <c r="D80" i="36"/>
  <c r="D87" i="36"/>
  <c r="D91" i="36"/>
  <c r="D92" i="36"/>
  <c r="D93" i="36"/>
  <c r="D96" i="36"/>
  <c r="D97" i="36"/>
  <c r="D111" i="36"/>
  <c r="D112" i="36"/>
  <c r="D117" i="36"/>
  <c r="D118" i="36"/>
  <c r="D121" i="36"/>
  <c r="D131" i="36"/>
  <c r="D132" i="36"/>
  <c r="D133" i="36"/>
  <c r="D140" i="36"/>
  <c r="D141" i="36"/>
  <c r="D142" i="36"/>
  <c r="D163" i="36"/>
  <c r="D183" i="36"/>
  <c r="D184" i="36"/>
  <c r="D187" i="36"/>
  <c r="D188" i="36"/>
  <c r="D189" i="36"/>
  <c r="O67" i="36"/>
  <c r="D67" i="36" s="1"/>
  <c r="O68" i="36"/>
  <c r="D68" i="36" s="1"/>
  <c r="O69" i="36"/>
  <c r="D69" i="36" s="1"/>
  <c r="O70" i="36"/>
  <c r="D70" i="36" s="1"/>
  <c r="O72" i="36"/>
  <c r="D72" i="36" s="1"/>
  <c r="O73" i="36"/>
  <c r="D73" i="36" s="1"/>
  <c r="O74" i="36"/>
  <c r="D74" i="36" s="1"/>
  <c r="O81" i="36"/>
  <c r="D81" i="36" s="1"/>
  <c r="O82" i="36"/>
  <c r="D82" i="36" s="1"/>
  <c r="O83" i="36"/>
  <c r="D83" i="36" s="1"/>
  <c r="O84" i="36"/>
  <c r="D84" i="36" s="1"/>
  <c r="O85" i="36"/>
  <c r="D85" i="36" s="1"/>
  <c r="O86" i="36"/>
  <c r="D86" i="36" s="1"/>
  <c r="G196" i="46"/>
  <c r="G197" i="46" s="1"/>
  <c r="N164" i="36"/>
  <c r="O164" i="36"/>
  <c r="D164" i="36" s="1"/>
  <c r="D9" i="36" l="1"/>
  <c r="D47" i="36"/>
  <c r="N47" i="36" l="1"/>
  <c r="N142" i="36"/>
  <c r="N141" i="36"/>
  <c r="N140" i="36"/>
  <c r="N133" i="36"/>
  <c r="N132" i="36"/>
  <c r="N131" i="36"/>
  <c r="N121" i="36"/>
  <c r="N118" i="36"/>
  <c r="N117" i="36"/>
  <c r="N112" i="36"/>
  <c r="N111" i="36"/>
  <c r="N97" i="36"/>
  <c r="N96" i="36"/>
  <c r="N93" i="36"/>
  <c r="N92" i="36"/>
  <c r="N91" i="36"/>
  <c r="N80" i="36"/>
  <c r="N79" i="36"/>
  <c r="N78" i="36"/>
  <c r="N71" i="36"/>
  <c r="N9" i="36"/>
  <c r="M189" i="36"/>
  <c r="M188" i="36"/>
  <c r="M187" i="36"/>
  <c r="M184" i="36"/>
  <c r="M183" i="36"/>
  <c r="N189" i="36"/>
  <c r="N188" i="36"/>
  <c r="N187" i="36"/>
  <c r="N184" i="36"/>
  <c r="N183" i="36"/>
  <c r="N163" i="36"/>
  <c r="M163" i="36"/>
  <c r="M141" i="36"/>
  <c r="M142" i="36"/>
  <c r="M140" i="36"/>
  <c r="M132" i="36"/>
  <c r="M133" i="36"/>
  <c r="M131" i="36"/>
  <c r="M118" i="36"/>
  <c r="M112" i="36"/>
  <c r="M121" i="36"/>
  <c r="M117" i="36"/>
  <c r="M111" i="36"/>
  <c r="M97" i="36"/>
  <c r="M96" i="36"/>
  <c r="M92" i="36"/>
  <c r="M93" i="36"/>
  <c r="M91" i="36"/>
  <c r="N87" i="36"/>
  <c r="M87" i="36"/>
  <c r="M78" i="36"/>
  <c r="M79" i="36"/>
  <c r="M80" i="36"/>
  <c r="M71" i="36"/>
  <c r="M47" i="36"/>
  <c r="M9" i="36"/>
  <c r="M3" i="36"/>
  <c r="M4" i="36"/>
  <c r="M5" i="36"/>
  <c r="M6" i="36"/>
  <c r="M7" i="36"/>
  <c r="M8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81" i="36"/>
  <c r="M82" i="36"/>
  <c r="M83" i="36"/>
  <c r="M84" i="36"/>
  <c r="M85" i="36"/>
  <c r="M86" i="36"/>
  <c r="M88" i="36"/>
  <c r="M89" i="36"/>
  <c r="M90" i="36"/>
  <c r="M94" i="36"/>
  <c r="M95" i="36"/>
  <c r="M98" i="36"/>
  <c r="M99" i="36"/>
  <c r="M100" i="36"/>
  <c r="M101" i="36"/>
  <c r="M102" i="36"/>
  <c r="M106" i="36"/>
  <c r="M107" i="36"/>
  <c r="M108" i="36"/>
  <c r="M109" i="36"/>
  <c r="M110" i="36"/>
  <c r="M113" i="36"/>
  <c r="M114" i="36"/>
  <c r="M115" i="36"/>
  <c r="M116" i="36"/>
  <c r="M119" i="36"/>
  <c r="M120" i="36"/>
  <c r="M122" i="36"/>
  <c r="M123" i="36"/>
  <c r="M124" i="36"/>
  <c r="M125" i="36"/>
  <c r="M126" i="36"/>
  <c r="M127" i="36"/>
  <c r="M128" i="36"/>
  <c r="M129" i="36"/>
  <c r="M130" i="36"/>
  <c r="M134" i="36"/>
  <c r="M135" i="36"/>
  <c r="M136" i="36"/>
  <c r="M137" i="36"/>
  <c r="M138" i="36"/>
  <c r="M139" i="36"/>
  <c r="M143" i="36"/>
  <c r="M144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5" i="36"/>
  <c r="M166" i="36"/>
  <c r="M167" i="36"/>
  <c r="M168" i="36"/>
  <c r="M169" i="36"/>
  <c r="M170" i="36"/>
  <c r="M171" i="36"/>
  <c r="M172" i="36"/>
  <c r="M173" i="36"/>
  <c r="M181" i="36"/>
  <c r="M182" i="36"/>
  <c r="M185" i="36"/>
  <c r="M186" i="36"/>
  <c r="M2" i="36"/>
  <c r="N3" i="36"/>
  <c r="N4" i="36"/>
  <c r="N5" i="36"/>
  <c r="N6" i="36"/>
  <c r="N7" i="36"/>
  <c r="N8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81" i="36"/>
  <c r="N82" i="36"/>
  <c r="N83" i="36"/>
  <c r="N84" i="36"/>
  <c r="N85" i="36"/>
  <c r="N86" i="36"/>
  <c r="N88" i="36"/>
  <c r="N89" i="36"/>
  <c r="N90" i="36"/>
  <c r="N94" i="36"/>
  <c r="N95" i="36"/>
  <c r="N98" i="36"/>
  <c r="N99" i="36"/>
  <c r="N100" i="36"/>
  <c r="N101" i="36"/>
  <c r="N102" i="36"/>
  <c r="N106" i="36"/>
  <c r="N107" i="36"/>
  <c r="N108" i="36"/>
  <c r="N109" i="36"/>
  <c r="N110" i="36"/>
  <c r="N113" i="36"/>
  <c r="N114" i="36"/>
  <c r="N115" i="36"/>
  <c r="N116" i="36"/>
  <c r="N119" i="36"/>
  <c r="N120" i="36"/>
  <c r="N122" i="36"/>
  <c r="N123" i="36"/>
  <c r="N124" i="36"/>
  <c r="N125" i="36"/>
  <c r="N126" i="36"/>
  <c r="N127" i="36"/>
  <c r="N128" i="36"/>
  <c r="N129" i="36"/>
  <c r="N130" i="36"/>
  <c r="N134" i="36"/>
  <c r="N135" i="36"/>
  <c r="N136" i="36"/>
  <c r="N137" i="36"/>
  <c r="N138" i="36"/>
  <c r="N139" i="36"/>
  <c r="N143" i="36"/>
  <c r="N144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5" i="36"/>
  <c r="N166" i="36"/>
  <c r="N167" i="36"/>
  <c r="N168" i="36"/>
  <c r="N169" i="36"/>
  <c r="N170" i="36"/>
  <c r="N171" i="36"/>
  <c r="N172" i="36"/>
  <c r="N173" i="36"/>
  <c r="N181" i="36"/>
  <c r="N182" i="36"/>
  <c r="N185" i="36"/>
  <c r="N186" i="36"/>
  <c r="N2" i="36"/>
  <c r="O3" i="36"/>
  <c r="D3" i="36" s="1"/>
  <c r="O4" i="36"/>
  <c r="D4" i="36" s="1"/>
  <c r="O5" i="36"/>
  <c r="D5" i="36" s="1"/>
  <c r="O6" i="36"/>
  <c r="D6" i="36" s="1"/>
  <c r="O7" i="36"/>
  <c r="D7" i="36" s="1"/>
  <c r="O8" i="36"/>
  <c r="D8" i="36" s="1"/>
  <c r="O18" i="36"/>
  <c r="D18" i="36" s="1"/>
  <c r="O19" i="36"/>
  <c r="D19" i="36" s="1"/>
  <c r="O20" i="36"/>
  <c r="D20" i="36" s="1"/>
  <c r="O21" i="36"/>
  <c r="D21" i="36" s="1"/>
  <c r="O22" i="36"/>
  <c r="D22" i="36" s="1"/>
  <c r="O23" i="36"/>
  <c r="D23" i="36" s="1"/>
  <c r="O24" i="36"/>
  <c r="D24" i="36" s="1"/>
  <c r="O25" i="36"/>
  <c r="D25" i="36" s="1"/>
  <c r="O26" i="36"/>
  <c r="D26" i="36" s="1"/>
  <c r="O27" i="36"/>
  <c r="D27" i="36" s="1"/>
  <c r="O28" i="36"/>
  <c r="D28" i="36" s="1"/>
  <c r="O29" i="36"/>
  <c r="D29" i="36" s="1"/>
  <c r="O30" i="36"/>
  <c r="D30" i="36" s="1"/>
  <c r="O31" i="36"/>
  <c r="D31" i="36" s="1"/>
  <c r="O32" i="36"/>
  <c r="D32" i="36" s="1"/>
  <c r="O33" i="36"/>
  <c r="D33" i="36" s="1"/>
  <c r="O34" i="36"/>
  <c r="D34" i="36" s="1"/>
  <c r="O35" i="36"/>
  <c r="D35" i="36" s="1"/>
  <c r="O36" i="36"/>
  <c r="D36" i="36" s="1"/>
  <c r="O37" i="36"/>
  <c r="D37" i="36" s="1"/>
  <c r="O38" i="36"/>
  <c r="D38" i="36" s="1"/>
  <c r="O39" i="36"/>
  <c r="D39" i="36" s="1"/>
  <c r="O40" i="36"/>
  <c r="D40" i="36" s="1"/>
  <c r="O41" i="36"/>
  <c r="D41" i="36" s="1"/>
  <c r="O42" i="36"/>
  <c r="D42" i="36" s="1"/>
  <c r="O43" i="36"/>
  <c r="D43" i="36" s="1"/>
  <c r="O44" i="36"/>
  <c r="D44" i="36" s="1"/>
  <c r="O45" i="36"/>
  <c r="D45" i="36" s="1"/>
  <c r="O48" i="36"/>
  <c r="D48" i="36" s="1"/>
  <c r="O49" i="36"/>
  <c r="D49" i="36" s="1"/>
  <c r="O50" i="36"/>
  <c r="D50" i="36" s="1"/>
  <c r="O51" i="36"/>
  <c r="D51" i="36" s="1"/>
  <c r="O52" i="36"/>
  <c r="D52" i="36" s="1"/>
  <c r="O53" i="36"/>
  <c r="D53" i="36" s="1"/>
  <c r="O54" i="36"/>
  <c r="D54" i="36" s="1"/>
  <c r="O55" i="36"/>
  <c r="D55" i="36" s="1"/>
  <c r="O56" i="36"/>
  <c r="D56" i="36" s="1"/>
  <c r="O57" i="36"/>
  <c r="D57" i="36" s="1"/>
  <c r="O58" i="36"/>
  <c r="D58" i="36" s="1"/>
  <c r="O59" i="36"/>
  <c r="D59" i="36" s="1"/>
  <c r="O60" i="36"/>
  <c r="D60" i="36" s="1"/>
  <c r="O61" i="36"/>
  <c r="D61" i="36" s="1"/>
  <c r="O62" i="36"/>
  <c r="D62" i="36" s="1"/>
  <c r="O63" i="36"/>
  <c r="D63" i="36" s="1"/>
  <c r="O64" i="36"/>
  <c r="D64" i="36" s="1"/>
  <c r="O65" i="36"/>
  <c r="D65" i="36" s="1"/>
  <c r="O66" i="36"/>
  <c r="D66" i="36" s="1"/>
  <c r="O88" i="36"/>
  <c r="D88" i="36" s="1"/>
  <c r="O89" i="36"/>
  <c r="D89" i="36" s="1"/>
  <c r="O90" i="36"/>
  <c r="D90" i="36" s="1"/>
  <c r="O94" i="36"/>
  <c r="D94" i="36" s="1"/>
  <c r="O95" i="36"/>
  <c r="D95" i="36" s="1"/>
  <c r="O98" i="36"/>
  <c r="D98" i="36" s="1"/>
  <c r="O99" i="36"/>
  <c r="D99" i="36" s="1"/>
  <c r="O100" i="36"/>
  <c r="D100" i="36" s="1"/>
  <c r="O101" i="36"/>
  <c r="D101" i="36" s="1"/>
  <c r="O102" i="36"/>
  <c r="D102" i="36" s="1"/>
  <c r="O106" i="36"/>
  <c r="D106" i="36" s="1"/>
  <c r="O107" i="36"/>
  <c r="D107" i="36" s="1"/>
  <c r="O108" i="36"/>
  <c r="D108" i="36" s="1"/>
  <c r="O109" i="36"/>
  <c r="D109" i="36" s="1"/>
  <c r="O110" i="36"/>
  <c r="D110" i="36" s="1"/>
  <c r="O113" i="36"/>
  <c r="D113" i="36" s="1"/>
  <c r="O114" i="36"/>
  <c r="D114" i="36" s="1"/>
  <c r="O115" i="36"/>
  <c r="D115" i="36" s="1"/>
  <c r="O116" i="36"/>
  <c r="D116" i="36" s="1"/>
  <c r="O119" i="36"/>
  <c r="D119" i="36" s="1"/>
  <c r="O120" i="36"/>
  <c r="D120" i="36" s="1"/>
  <c r="O122" i="36"/>
  <c r="D122" i="36" s="1"/>
  <c r="O123" i="36"/>
  <c r="D123" i="36" s="1"/>
  <c r="O124" i="36"/>
  <c r="D124" i="36" s="1"/>
  <c r="O125" i="36"/>
  <c r="D125" i="36" s="1"/>
  <c r="O126" i="36"/>
  <c r="D126" i="36" s="1"/>
  <c r="O127" i="36"/>
  <c r="D127" i="36" s="1"/>
  <c r="O128" i="36"/>
  <c r="D128" i="36" s="1"/>
  <c r="O129" i="36"/>
  <c r="D129" i="36" s="1"/>
  <c r="O130" i="36"/>
  <c r="D130" i="36" s="1"/>
  <c r="O134" i="36"/>
  <c r="D134" i="36" s="1"/>
  <c r="O135" i="36"/>
  <c r="D135" i="36" s="1"/>
  <c r="O136" i="36"/>
  <c r="D136" i="36" s="1"/>
  <c r="O137" i="36"/>
  <c r="D137" i="36" s="1"/>
  <c r="O138" i="36"/>
  <c r="D138" i="36" s="1"/>
  <c r="O139" i="36"/>
  <c r="D139" i="36" s="1"/>
  <c r="O143" i="36"/>
  <c r="D143" i="36" s="1"/>
  <c r="O144" i="36"/>
  <c r="D144" i="36" s="1"/>
  <c r="O149" i="36"/>
  <c r="D149" i="36" s="1"/>
  <c r="O150" i="36"/>
  <c r="D150" i="36" s="1"/>
  <c r="O151" i="36"/>
  <c r="D151" i="36" s="1"/>
  <c r="O152" i="36"/>
  <c r="D152" i="36" s="1"/>
  <c r="O153" i="36"/>
  <c r="D153" i="36" s="1"/>
  <c r="O154" i="36"/>
  <c r="D154" i="36" s="1"/>
  <c r="O155" i="36"/>
  <c r="D155" i="36" s="1"/>
  <c r="O156" i="36"/>
  <c r="D156" i="36" s="1"/>
  <c r="O157" i="36"/>
  <c r="D157" i="36" s="1"/>
  <c r="O158" i="36"/>
  <c r="D158" i="36" s="1"/>
  <c r="O159" i="36"/>
  <c r="D159" i="36" s="1"/>
  <c r="O160" i="36"/>
  <c r="D160" i="36" s="1"/>
  <c r="O161" i="36"/>
  <c r="D161" i="36" s="1"/>
  <c r="O162" i="36"/>
  <c r="D162" i="36" s="1"/>
  <c r="O165" i="36"/>
  <c r="D165" i="36" s="1"/>
  <c r="O166" i="36"/>
  <c r="D166" i="36" s="1"/>
  <c r="O167" i="36"/>
  <c r="D167" i="36" s="1"/>
  <c r="O168" i="36"/>
  <c r="D168" i="36" s="1"/>
  <c r="O169" i="36"/>
  <c r="D169" i="36" s="1"/>
  <c r="O170" i="36"/>
  <c r="D170" i="36" s="1"/>
  <c r="O171" i="36"/>
  <c r="D171" i="36" s="1"/>
  <c r="O172" i="36"/>
  <c r="D172" i="36" s="1"/>
  <c r="O173" i="36"/>
  <c r="D173" i="36" s="1"/>
  <c r="O181" i="36"/>
  <c r="D181" i="36" s="1"/>
  <c r="O182" i="36"/>
  <c r="D182" i="36" s="1"/>
  <c r="O185" i="36"/>
  <c r="D185" i="36" s="1"/>
  <c r="O186" i="36"/>
  <c r="D186" i="36" s="1"/>
  <c r="O2" i="36"/>
  <c r="D2" i="36" s="1"/>
  <c r="G213" i="40" l="1"/>
  <c r="G212" i="40"/>
  <c r="G211" i="40"/>
  <c r="G214" i="40" l="1"/>
  <c r="D48" i="35"/>
  <c r="D49" i="35"/>
  <c r="D50" i="35"/>
  <c r="D51" i="35"/>
  <c r="D52" i="35"/>
  <c r="D53" i="35"/>
  <c r="I65" i="15" l="1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54" i="15"/>
  <c r="I55" i="15"/>
  <c r="I56" i="15"/>
  <c r="I57" i="15"/>
  <c r="I58" i="15"/>
  <c r="I59" i="15"/>
  <c r="I60" i="15"/>
  <c r="I61" i="15"/>
  <c r="I62" i="15"/>
  <c r="I63" i="15"/>
  <c r="I6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39" i="15" l="1"/>
  <c r="J39" i="15"/>
  <c r="K39" i="15" s="1"/>
  <c r="G33" i="15"/>
  <c r="G92" i="15" l="1"/>
  <c r="D45" i="35" l="1"/>
  <c r="D46" i="35"/>
  <c r="D47" i="35"/>
  <c r="D54" i="35"/>
  <c r="D55" i="35"/>
  <c r="D56" i="35"/>
  <c r="D57" i="35"/>
  <c r="D58" i="35"/>
  <c r="D59" i="35"/>
  <c r="D60" i="35"/>
  <c r="D61" i="35"/>
  <c r="D62" i="35"/>
  <c r="D63" i="35"/>
  <c r="D64" i="35"/>
  <c r="C390" i="40"/>
  <c r="D153" i="35" l="1"/>
  <c r="D154" i="35"/>
  <c r="D188" i="35"/>
  <c r="D189" i="35"/>
  <c r="D190" i="35"/>
  <c r="D191" i="35"/>
  <c r="BL5" i="39" l="1"/>
  <c r="BF5" i="39" s="1"/>
  <c r="D81" i="35" l="1"/>
  <c r="D80" i="35"/>
  <c r="D79" i="35"/>
  <c r="BL7" i="39" l="1"/>
  <c r="BL6" i="39"/>
  <c r="BK8" i="39"/>
  <c r="BJ8" i="39"/>
  <c r="BG8" i="39"/>
  <c r="D3" i="35"/>
  <c r="D4" i="35"/>
  <c r="D5" i="35"/>
  <c r="D6" i="35"/>
  <c r="D7" i="35"/>
  <c r="D8" i="35"/>
  <c r="D9" i="35"/>
  <c r="D10" i="35"/>
  <c r="D11" i="35"/>
  <c r="D12" i="35"/>
  <c r="D13" i="35"/>
  <c r="D14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65" i="35"/>
  <c r="D66" i="35"/>
  <c r="D67" i="35"/>
  <c r="D68" i="35"/>
  <c r="D69" i="35"/>
  <c r="D70" i="35"/>
  <c r="D72" i="35"/>
  <c r="D73" i="35"/>
  <c r="D74" i="35"/>
  <c r="D75" i="35"/>
  <c r="D76" i="35"/>
  <c r="D77" i="35"/>
  <c r="D84" i="35"/>
  <c r="D85" i="35"/>
  <c r="D88" i="35"/>
  <c r="D89" i="35"/>
  <c r="D90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117" i="35"/>
  <c r="D118" i="35"/>
  <c r="D119" i="35"/>
  <c r="D120" i="35"/>
  <c r="D126" i="35"/>
  <c r="D127" i="35"/>
  <c r="D128" i="35"/>
  <c r="D129" i="35"/>
  <c r="D130" i="35"/>
  <c r="D131" i="35"/>
  <c r="D132" i="35"/>
  <c r="D133" i="35"/>
  <c r="D134" i="35"/>
  <c r="D135" i="35"/>
  <c r="D136" i="35"/>
  <c r="D137" i="35"/>
  <c r="D138" i="35"/>
  <c r="D139" i="35"/>
  <c r="D140" i="35"/>
  <c r="D141" i="35"/>
  <c r="D142" i="35"/>
  <c r="D146" i="35"/>
  <c r="D147" i="35"/>
  <c r="D148" i="35"/>
  <c r="D149" i="35"/>
  <c r="D150" i="35"/>
  <c r="D152" i="35"/>
  <c r="D155" i="35"/>
  <c r="D156" i="35"/>
  <c r="D157" i="35"/>
  <c r="D158" i="35"/>
  <c r="D159" i="35"/>
  <c r="D160" i="35"/>
  <c r="D161" i="35"/>
  <c r="D162" i="35"/>
  <c r="D163" i="35"/>
  <c r="D164" i="35"/>
  <c r="D165" i="35"/>
  <c r="D166" i="35"/>
  <c r="D167" i="35"/>
  <c r="D168" i="35"/>
  <c r="D169" i="35"/>
  <c r="D170" i="35"/>
  <c r="D171" i="35"/>
  <c r="D172" i="35"/>
  <c r="D173" i="35"/>
  <c r="D174" i="35"/>
  <c r="D175" i="35"/>
  <c r="D176" i="35"/>
  <c r="D177" i="35"/>
  <c r="D178" i="35"/>
  <c r="D179" i="35"/>
  <c r="D180" i="35"/>
  <c r="D181" i="35"/>
  <c r="D182" i="35"/>
  <c r="D183" i="35"/>
  <c r="D184" i="35"/>
  <c r="B10" i="27"/>
  <c r="B11" i="27"/>
  <c r="B12" i="27"/>
  <c r="B4" i="27"/>
  <c r="B3" i="27" s="1"/>
  <c r="B6" i="27"/>
  <c r="B5" i="27"/>
  <c r="BL8" i="39" l="1"/>
  <c r="BF6" i="39"/>
  <c r="BF7" i="39"/>
  <c r="BH7" i="39" s="1"/>
  <c r="BH6" i="39"/>
  <c r="B13" i="27"/>
  <c r="BH5" i="39"/>
  <c r="BF8" i="39" l="1"/>
  <c r="E20" i="51"/>
  <c r="BH8" i="39"/>
  <c r="E9" i="3" l="1"/>
  <c r="J9" i="3"/>
  <c r="J6" i="3" l="1"/>
  <c r="E6" i="3"/>
  <c r="E11" i="3"/>
  <c r="J11" i="3" l="1"/>
  <c r="G9" i="3" l="1"/>
  <c r="P9" i="3"/>
  <c r="P11" i="3" l="1"/>
  <c r="G6" i="3"/>
  <c r="P6" i="3"/>
  <c r="L9" i="3"/>
  <c r="G11" i="3" l="1"/>
  <c r="I6" i="3"/>
  <c r="I11" i="3"/>
  <c r="L6" i="3"/>
  <c r="L11" i="3"/>
  <c r="I9" i="3"/>
  <c r="K9" i="3" l="1"/>
  <c r="N9" i="3"/>
  <c r="Q9" i="3"/>
  <c r="Q6" i="3" l="1"/>
  <c r="N6" i="3"/>
  <c r="K6" i="3"/>
  <c r="Q11" i="3"/>
  <c r="M9" i="3" l="1"/>
  <c r="O9" i="3"/>
  <c r="R9" i="3" l="1"/>
  <c r="R6" i="3"/>
  <c r="O6" i="3"/>
  <c r="M6" i="3"/>
  <c r="S6" i="3" l="1"/>
  <c r="S9" i="3"/>
  <c r="S11" i="3" l="1"/>
  <c r="K11" i="3" l="1"/>
  <c r="N11" i="3" l="1"/>
  <c r="M11" i="3" l="1"/>
  <c r="R11" i="3"/>
  <c r="O11" i="3"/>
  <c r="I48" i="45" l="1"/>
  <c r="I44" i="45"/>
  <c r="I22" i="45" l="1"/>
  <c r="I7" i="45" l="1"/>
  <c r="K48" i="45" l="1"/>
  <c r="F48" i="45"/>
  <c r="K44" i="45"/>
  <c r="F44" i="45" l="1"/>
  <c r="F22" i="45" l="1"/>
  <c r="K22" i="45"/>
  <c r="K7" i="45" l="1"/>
  <c r="F7" i="45"/>
  <c r="Q48" i="45" l="1"/>
  <c r="Q44" i="45"/>
  <c r="Q22" i="45"/>
  <c r="Q7" i="45"/>
  <c r="J48" i="45" l="1"/>
  <c r="M48" i="45"/>
  <c r="H22" i="45"/>
  <c r="M44" i="45"/>
  <c r="M22" i="45"/>
  <c r="J44" i="45"/>
  <c r="H44" i="45"/>
  <c r="J22" i="45"/>
  <c r="H48" i="45"/>
  <c r="H7" i="45" l="1"/>
  <c r="J7" i="45"/>
  <c r="M7" i="45"/>
  <c r="O48" i="45" l="1"/>
  <c r="L48" i="45"/>
  <c r="L44" i="45" l="1"/>
  <c r="O44" i="45"/>
  <c r="L22" i="45" l="1"/>
  <c r="O22" i="45"/>
  <c r="R44" i="45"/>
  <c r="R48" i="45" l="1"/>
  <c r="P48" i="45"/>
  <c r="N48" i="45"/>
  <c r="S44" i="45" l="1"/>
  <c r="O7" i="45"/>
  <c r="L7" i="45"/>
  <c r="N44" i="45"/>
  <c r="R22" i="45"/>
  <c r="S48" i="45"/>
  <c r="P44" i="45"/>
  <c r="R7" i="45" l="1"/>
  <c r="S22" i="45"/>
  <c r="P22" i="45"/>
  <c r="N22" i="45"/>
  <c r="P7" i="45"/>
  <c r="S7" i="45" l="1"/>
  <c r="N7" i="45"/>
  <c r="T44" i="45" l="1"/>
  <c r="T48" i="45" l="1"/>
  <c r="T22" i="45"/>
  <c r="T7" i="45" l="1"/>
  <c r="D25" i="1" l="1"/>
  <c r="D18" i="1"/>
  <c r="D12" i="76"/>
  <c r="F12" i="1"/>
  <c r="F25" i="1"/>
  <c r="K17" i="39"/>
  <c r="K18" i="39" s="1"/>
  <c r="D12" i="1"/>
  <c r="I57" i="45" l="1"/>
  <c r="E34" i="63"/>
  <c r="D6" i="1"/>
  <c r="G57" i="45"/>
  <c r="E57" i="45"/>
  <c r="D6" i="76"/>
  <c r="D13" i="76" s="1"/>
  <c r="F6" i="1"/>
  <c r="D27" i="1"/>
  <c r="D17" i="1" s="1"/>
  <c r="F11" i="1" l="1"/>
  <c r="E19" i="63"/>
  <c r="E5" i="63"/>
  <c r="E8" i="63"/>
  <c r="E25" i="63"/>
  <c r="H18" i="2"/>
  <c r="D18" i="2"/>
  <c r="I25" i="63"/>
  <c r="I19" i="63"/>
  <c r="I34" i="63"/>
  <c r="I5" i="63"/>
  <c r="F27" i="1"/>
  <c r="F18" i="1"/>
  <c r="D11" i="1"/>
  <c r="D5" i="1" s="1"/>
  <c r="D38" i="1" s="1"/>
  <c r="D40" i="1" s="1"/>
  <c r="F5" i="1"/>
  <c r="G5" i="63" l="1"/>
  <c r="G30" i="63"/>
  <c r="G34" i="63"/>
  <c r="F18" i="2"/>
  <c r="G25" i="63"/>
  <c r="E30" i="63"/>
  <c r="D7" i="2"/>
  <c r="E16" i="63"/>
  <c r="E18" i="63" s="1"/>
  <c r="E23" i="63" s="1"/>
  <c r="F17" i="1"/>
  <c r="F38" i="1" s="1"/>
  <c r="F40" i="1" s="1"/>
  <c r="I30" i="63"/>
  <c r="I8" i="63"/>
  <c r="I16" i="63" s="1"/>
  <c r="I18" i="63" s="1"/>
  <c r="I23" i="63" s="1"/>
  <c r="H5" i="2"/>
  <c r="G19" i="63" l="1"/>
  <c r="G8" i="63"/>
  <c r="G16" i="63" s="1"/>
  <c r="G18" i="63" s="1"/>
  <c r="G23" i="63" s="1"/>
  <c r="D5" i="2"/>
  <c r="D14" i="2" s="1"/>
  <c r="D17" i="2" s="1"/>
  <c r="F5" i="2"/>
  <c r="D22" i="2" l="1"/>
  <c r="D24" i="2" s="1"/>
  <c r="E6" i="45"/>
  <c r="E21" i="45" s="1"/>
  <c r="E39" i="45" s="1"/>
  <c r="E50" i="45" s="1"/>
  <c r="D32" i="2"/>
  <c r="H7" i="2"/>
  <c r="E36" i="63" l="1"/>
  <c r="E24" i="63" s="1"/>
  <c r="E44" i="63" s="1"/>
  <c r="F7" i="2"/>
  <c r="D26" i="2"/>
  <c r="D5" i="3"/>
  <c r="D14" i="3" s="1"/>
  <c r="I36" i="63"/>
  <c r="I24" i="63" s="1"/>
  <c r="H14" i="2"/>
  <c r="H17" i="2" s="1"/>
  <c r="F14" i="2" l="1"/>
  <c r="F17" i="2" s="1"/>
  <c r="G36" i="63"/>
  <c r="G24" i="63" s="1"/>
  <c r="G44" i="63" s="1"/>
  <c r="I44" i="63"/>
  <c r="H22" i="2"/>
  <c r="H24" i="2" s="1"/>
  <c r="I6" i="45"/>
  <c r="I21" i="45" s="1"/>
  <c r="I39" i="45" s="1"/>
  <c r="I50" i="45" s="1"/>
  <c r="G6" i="45" l="1"/>
  <c r="G21" i="45" s="1"/>
  <c r="G39" i="45" s="1"/>
  <c r="G50" i="45" s="1"/>
  <c r="F22" i="2"/>
  <c r="F24" i="2" s="1"/>
  <c r="F26" i="2" s="1"/>
  <c r="F5" i="3"/>
  <c r="F14" i="3" s="1"/>
  <c r="F32" i="2"/>
  <c r="H5" i="3"/>
  <c r="H14" i="3" s="1"/>
  <c r="H26" i="2"/>
  <c r="H32" i="2"/>
  <c r="G12" i="1"/>
  <c r="I12" i="1"/>
  <c r="H12" i="1"/>
  <c r="J12" i="1"/>
  <c r="K12" i="1"/>
  <c r="E12" i="1" l="1"/>
  <c r="E12" i="76" l="1"/>
  <c r="G12" i="76"/>
  <c r="H12" i="76"/>
  <c r="I12" i="76"/>
  <c r="I25" i="1" l="1"/>
  <c r="G25" i="1"/>
  <c r="H25" i="1"/>
  <c r="E25" i="1" l="1"/>
  <c r="U17" i="39"/>
  <c r="U18" i="39" s="1"/>
  <c r="Z17" i="39" l="1"/>
  <c r="Z18" i="39" s="1"/>
  <c r="P17" i="39"/>
  <c r="P18" i="39" s="1"/>
  <c r="G6" i="76"/>
  <c r="G13" i="76" s="1"/>
  <c r="AE17" i="39"/>
  <c r="AE18" i="39" s="1"/>
  <c r="H6" i="76"/>
  <c r="H13" i="76" s="1"/>
  <c r="F34" i="63"/>
  <c r="K34" i="63"/>
  <c r="J18" i="2"/>
  <c r="E6" i="76"/>
  <c r="E13" i="76" s="1"/>
  <c r="I6" i="76"/>
  <c r="I13" i="76" s="1"/>
  <c r="Q57" i="45"/>
  <c r="G27" i="1"/>
  <c r="G18" i="1"/>
  <c r="H27" i="1"/>
  <c r="I27" i="1"/>
  <c r="J5" i="2"/>
  <c r="J57" i="45" l="1"/>
  <c r="E27" i="1"/>
  <c r="F57" i="45"/>
  <c r="H57" i="45"/>
  <c r="M57" i="45"/>
  <c r="K57" i="45"/>
  <c r="K5" i="63"/>
  <c r="K25" i="63"/>
  <c r="F25" i="63"/>
  <c r="F5" i="63"/>
  <c r="E18" i="2"/>
  <c r="K5" i="2"/>
  <c r="E5" i="2"/>
  <c r="K18" i="2"/>
  <c r="G6" i="1"/>
  <c r="I18" i="1"/>
  <c r="E18" i="1"/>
  <c r="E17" i="1" s="1"/>
  <c r="I17" i="1"/>
  <c r="I6" i="1"/>
  <c r="H11" i="1"/>
  <c r="E6" i="1"/>
  <c r="H6" i="1"/>
  <c r="G17" i="1"/>
  <c r="I11" i="1"/>
  <c r="E11" i="1" l="1"/>
  <c r="F19" i="63"/>
  <c r="F30" i="63"/>
  <c r="K19" i="63"/>
  <c r="F8" i="63"/>
  <c r="F16" i="63" s="1"/>
  <c r="F18" i="63" s="1"/>
  <c r="J7" i="2"/>
  <c r="J14" i="2" s="1"/>
  <c r="J17" i="2" s="1"/>
  <c r="J22" i="2" s="1"/>
  <c r="J24" i="2" s="1"/>
  <c r="K8" i="63"/>
  <c r="K16" i="63" s="1"/>
  <c r="K18" i="63" s="1"/>
  <c r="K30" i="63"/>
  <c r="H18" i="1"/>
  <c r="H17" i="1" s="1"/>
  <c r="G11" i="1"/>
  <c r="G5" i="1" s="1"/>
  <c r="G38" i="1" s="1"/>
  <c r="G40" i="1" s="1"/>
  <c r="H5" i="1"/>
  <c r="E5" i="1"/>
  <c r="E38" i="1" s="1"/>
  <c r="E40" i="1" s="1"/>
  <c r="I5" i="1"/>
  <c r="K23" i="63" l="1"/>
  <c r="F23" i="63"/>
  <c r="H38" i="1"/>
  <c r="H40" i="1" s="1"/>
  <c r="J26" i="2"/>
  <c r="I38" i="1"/>
  <c r="I40" i="1" s="1"/>
  <c r="Q25" i="63" l="1"/>
  <c r="Q18" i="2"/>
  <c r="Q34" i="63"/>
  <c r="Q8" i="63" l="1"/>
  <c r="H5" i="63"/>
  <c r="Q5" i="2"/>
  <c r="Q5" i="63"/>
  <c r="G18" i="2"/>
  <c r="H34" i="63"/>
  <c r="K7" i="2"/>
  <c r="J32" i="2"/>
  <c r="E7" i="2"/>
  <c r="H25" i="63"/>
  <c r="Q30" i="63"/>
  <c r="Q19" i="63"/>
  <c r="G5" i="2"/>
  <c r="M5" i="2"/>
  <c r="Q16" i="63" l="1"/>
  <c r="Q18" i="63" s="1"/>
  <c r="Q23" i="63" s="1"/>
  <c r="H8" i="63"/>
  <c r="H16" i="63" s="1"/>
  <c r="H18" i="63" s="1"/>
  <c r="M5" i="63"/>
  <c r="J25" i="63"/>
  <c r="E14" i="2"/>
  <c r="E17" i="2" s="1"/>
  <c r="K14" i="2"/>
  <c r="K17" i="2" s="1"/>
  <c r="J5" i="63"/>
  <c r="M18" i="2"/>
  <c r="J34" i="63"/>
  <c r="M34" i="63"/>
  <c r="H30" i="63"/>
  <c r="J8" i="63"/>
  <c r="I5" i="2"/>
  <c r="M8" i="63" l="1"/>
  <c r="M16" i="63" s="1"/>
  <c r="M18" i="63" s="1"/>
  <c r="J16" i="63"/>
  <c r="J18" i="63" s="1"/>
  <c r="M19" i="63"/>
  <c r="M25" i="63"/>
  <c r="F6" i="45"/>
  <c r="F21" i="45" s="1"/>
  <c r="F39" i="45" s="1"/>
  <c r="F50" i="45" s="1"/>
  <c r="E22" i="2"/>
  <c r="E24" i="2" s="1"/>
  <c r="M30" i="63"/>
  <c r="J19" i="63"/>
  <c r="K22" i="2"/>
  <c r="K24" i="2" s="1"/>
  <c r="K6" i="45"/>
  <c r="K21" i="45" s="1"/>
  <c r="K39" i="45" s="1"/>
  <c r="K50" i="45" s="1"/>
  <c r="H19" i="63"/>
  <c r="H23" i="63" s="1"/>
  <c r="J30" i="63"/>
  <c r="I18" i="2"/>
  <c r="M23" i="63" l="1"/>
  <c r="J23" i="63"/>
  <c r="E5" i="3"/>
  <c r="E14" i="3" s="1"/>
  <c r="E26" i="2"/>
  <c r="K32" i="2"/>
  <c r="Q7" i="2"/>
  <c r="K26" i="2"/>
  <c r="J5" i="3"/>
  <c r="J14" i="3" s="1"/>
  <c r="E32" i="2" l="1"/>
  <c r="K36" i="63"/>
  <c r="K24" i="63" s="1"/>
  <c r="Q14" i="2"/>
  <c r="Q17" i="2" s="1"/>
  <c r="K44" i="63" l="1"/>
  <c r="G7" i="2"/>
  <c r="I7" i="2"/>
  <c r="M7" i="2"/>
  <c r="F36" i="63"/>
  <c r="F24" i="63" s="1"/>
  <c r="Q6" i="45"/>
  <c r="Q21" i="45" s="1"/>
  <c r="Q39" i="45" s="1"/>
  <c r="Q50" i="45" s="1"/>
  <c r="Q22" i="2"/>
  <c r="Q24" i="2" s="1"/>
  <c r="F44" i="63" l="1"/>
  <c r="M14" i="2"/>
  <c r="M17" i="2" s="1"/>
  <c r="I14" i="2"/>
  <c r="I17" i="2" s="1"/>
  <c r="G14" i="2"/>
  <c r="G17" i="2" s="1"/>
  <c r="P5" i="3"/>
  <c r="P14" i="3" s="1"/>
  <c r="Q26" i="2"/>
  <c r="M22" i="2" l="1"/>
  <c r="M24" i="2" s="1"/>
  <c r="M6" i="45"/>
  <c r="M21" i="45" s="1"/>
  <c r="M39" i="45" s="1"/>
  <c r="M50" i="45" s="1"/>
  <c r="Q32" i="2"/>
  <c r="J6" i="45"/>
  <c r="J21" i="45" s="1"/>
  <c r="J39" i="45" s="1"/>
  <c r="J50" i="45" s="1"/>
  <c r="I22" i="2"/>
  <c r="I24" i="2" s="1"/>
  <c r="G22" i="2"/>
  <c r="G24" i="2" s="1"/>
  <c r="H6" i="45"/>
  <c r="H21" i="45" s="1"/>
  <c r="H39" i="45" s="1"/>
  <c r="H50" i="45" s="1"/>
  <c r="Q36" i="63" l="1"/>
  <c r="Q24" i="63" s="1"/>
  <c r="G32" i="2"/>
  <c r="G26" i="2"/>
  <c r="G5" i="3"/>
  <c r="G14" i="3" s="1"/>
  <c r="I5" i="3"/>
  <c r="I14" i="3" s="1"/>
  <c r="I26" i="2"/>
  <c r="I32" i="2"/>
  <c r="M26" i="2"/>
  <c r="L5" i="3"/>
  <c r="L14" i="3" s="1"/>
  <c r="Q44" i="63" l="1"/>
  <c r="M32" i="2"/>
  <c r="H36" i="63"/>
  <c r="H24" i="63" s="1"/>
  <c r="H44" i="63" l="1"/>
  <c r="J36" i="63"/>
  <c r="J24" i="63" s="1"/>
  <c r="M36" i="63"/>
  <c r="M24" i="63" s="1"/>
  <c r="M44" i="63" l="1"/>
  <c r="J44" i="63"/>
  <c r="J12" i="76"/>
  <c r="T57" i="45" l="1"/>
  <c r="S57" i="45"/>
  <c r="J6" i="1" l="1"/>
  <c r="K6" i="1"/>
  <c r="J25" i="1" l="1"/>
  <c r="J6" i="76"/>
  <c r="J13" i="76" s="1"/>
  <c r="AJ17" i="39"/>
  <c r="AJ18" i="39" s="1"/>
  <c r="R34" i="63" l="1"/>
  <c r="L34" i="63"/>
  <c r="O34" i="63"/>
  <c r="J11" i="1"/>
  <c r="J27" i="1"/>
  <c r="S5" i="2"/>
  <c r="J18" i="1"/>
  <c r="L5" i="63" l="1"/>
  <c r="S18" i="2"/>
  <c r="R19" i="63"/>
  <c r="O18" i="2"/>
  <c r="R25" i="63"/>
  <c r="R5" i="63"/>
  <c r="O5" i="2"/>
  <c r="L18" i="2"/>
  <c r="O5" i="63"/>
  <c r="R5" i="2"/>
  <c r="L5" i="2"/>
  <c r="O25" i="63"/>
  <c r="L25" i="63"/>
  <c r="R18" i="2"/>
  <c r="J17" i="1"/>
  <c r="J5" i="1"/>
  <c r="P5" i="2"/>
  <c r="R30" i="63" l="1"/>
  <c r="J38" i="1"/>
  <c r="J40" i="1" s="1"/>
  <c r="S7" i="2"/>
  <c r="S14" i="2" s="1"/>
  <c r="S17" i="2" s="1"/>
  <c r="S22" i="2" s="1"/>
  <c r="S24" i="2" s="1"/>
  <c r="N34" i="63"/>
  <c r="P18" i="2"/>
  <c r="O19" i="63"/>
  <c r="O8" i="63"/>
  <c r="O16" i="63" s="1"/>
  <c r="O18" i="63" s="1"/>
  <c r="P34" i="63"/>
  <c r="O30" i="63"/>
  <c r="S34" i="63"/>
  <c r="L8" i="63"/>
  <c r="L16" i="63" s="1"/>
  <c r="L18" i="63" s="1"/>
  <c r="P5" i="63"/>
  <c r="R8" i="63"/>
  <c r="R16" i="63" s="1"/>
  <c r="L19" i="63"/>
  <c r="L30" i="63"/>
  <c r="N5" i="2"/>
  <c r="N19" i="63" l="1"/>
  <c r="P8" i="63"/>
  <c r="T18" i="2"/>
  <c r="L23" i="63"/>
  <c r="R18" i="63"/>
  <c r="R23" i="63" s="1"/>
  <c r="O23" i="63"/>
  <c r="P25" i="63"/>
  <c r="P30" i="63"/>
  <c r="N18" i="2"/>
  <c r="P19" i="63"/>
  <c r="T5" i="2"/>
  <c r="P16" i="63"/>
  <c r="P18" i="63" s="1"/>
  <c r="N25" i="63"/>
  <c r="N30" i="63"/>
  <c r="S26" i="2"/>
  <c r="S25" i="63"/>
  <c r="S5" i="63"/>
  <c r="N5" i="63"/>
  <c r="S19" i="63"/>
  <c r="P23" i="63" l="1"/>
  <c r="S30" i="63"/>
  <c r="N8" i="63"/>
  <c r="N16" i="63" s="1"/>
  <c r="N18" i="63" s="1"/>
  <c r="N23" i="63" s="1"/>
  <c r="S8" i="63"/>
  <c r="S16" i="63" s="1"/>
  <c r="S18" i="63" l="1"/>
  <c r="S23" i="63" s="1"/>
  <c r="O7" i="2"/>
  <c r="R7" i="2"/>
  <c r="L7" i="2"/>
  <c r="R14" i="2" l="1"/>
  <c r="R17" i="2" s="1"/>
  <c r="L14" i="2"/>
  <c r="L17" i="2" s="1"/>
  <c r="O14" i="2"/>
  <c r="O17" i="2" s="1"/>
  <c r="P7" i="2"/>
  <c r="N7" i="2"/>
  <c r="P14" i="2" l="1"/>
  <c r="P17" i="2" s="1"/>
  <c r="S32" i="2"/>
  <c r="L22" i="2"/>
  <c r="L24" i="2" s="1"/>
  <c r="L6" i="45"/>
  <c r="L21" i="45" s="1"/>
  <c r="L39" i="45" s="1"/>
  <c r="L50" i="45" s="1"/>
  <c r="N14" i="2"/>
  <c r="N17" i="2" s="1"/>
  <c r="R22" i="2"/>
  <c r="R24" i="2" s="1"/>
  <c r="R6" i="45"/>
  <c r="R21" i="45" s="1"/>
  <c r="R39" i="45" s="1"/>
  <c r="R50" i="45" s="1"/>
  <c r="O22" i="2"/>
  <c r="O24" i="2" s="1"/>
  <c r="O6" i="45"/>
  <c r="O21" i="45" s="1"/>
  <c r="O39" i="45" s="1"/>
  <c r="O50" i="45" s="1"/>
  <c r="T7" i="2"/>
  <c r="O26" i="2" l="1"/>
  <c r="N5" i="3"/>
  <c r="N14" i="3" s="1"/>
  <c r="L32" i="2"/>
  <c r="O32" i="2"/>
  <c r="R26" i="2"/>
  <c r="Q5" i="3"/>
  <c r="Q14" i="3" s="1"/>
  <c r="N22" i="2"/>
  <c r="N24" i="2" s="1"/>
  <c r="N6" i="45"/>
  <c r="N21" i="45" s="1"/>
  <c r="N39" i="45" s="1"/>
  <c r="N50" i="45" s="1"/>
  <c r="L26" i="2"/>
  <c r="K5" i="3"/>
  <c r="K14" i="3" s="1"/>
  <c r="P6" i="45"/>
  <c r="P21" i="45" s="1"/>
  <c r="P39" i="45" s="1"/>
  <c r="P50" i="45" s="1"/>
  <c r="P22" i="2"/>
  <c r="P24" i="2" s="1"/>
  <c r="T14" i="2"/>
  <c r="T17" i="2" s="1"/>
  <c r="S6" i="45" l="1"/>
  <c r="S21" i="45" s="1"/>
  <c r="S39" i="45" s="1"/>
  <c r="S50" i="45" s="1"/>
  <c r="T22" i="2"/>
  <c r="T24" i="2" s="1"/>
  <c r="N26" i="2"/>
  <c r="M5" i="3"/>
  <c r="M14" i="3" s="1"/>
  <c r="P32" i="2"/>
  <c r="R32" i="2"/>
  <c r="O36" i="63"/>
  <c r="O24" i="63" s="1"/>
  <c r="O5" i="3"/>
  <c r="O14" i="3" s="1"/>
  <c r="P26" i="2"/>
  <c r="L36" i="63"/>
  <c r="L24" i="63" s="1"/>
  <c r="O44" i="63" l="1"/>
  <c r="L44" i="63"/>
  <c r="P36" i="63"/>
  <c r="P24" i="63" s="1"/>
  <c r="T32" i="2"/>
  <c r="T26" i="2"/>
  <c r="R5" i="3"/>
  <c r="R14" i="3" s="1"/>
  <c r="N32" i="2"/>
  <c r="R36" i="63"/>
  <c r="R24" i="63" s="1"/>
  <c r="P44" i="63" l="1"/>
  <c r="R44" i="63"/>
  <c r="N36" i="63"/>
  <c r="N24" i="63" s="1"/>
  <c r="N44" i="63" l="1"/>
  <c r="S36" i="63"/>
  <c r="S24" i="63" s="1"/>
  <c r="S44" i="63" l="1"/>
  <c r="K25" i="1"/>
  <c r="K27" i="1" l="1"/>
  <c r="K18" i="1" l="1"/>
  <c r="K17" i="1" s="1"/>
  <c r="K11" i="1"/>
  <c r="K5" i="1" s="1"/>
  <c r="T34" i="63" l="1"/>
  <c r="K38" i="1"/>
  <c r="K40" i="1" s="1"/>
  <c r="U5" i="2"/>
  <c r="U18" i="2" l="1"/>
  <c r="T5" i="63"/>
  <c r="T25" i="63"/>
  <c r="T8" i="63" l="1"/>
  <c r="T16" i="63" s="1"/>
  <c r="T18" i="63" s="1"/>
  <c r="T19" i="63"/>
  <c r="T30" i="63"/>
  <c r="T23" i="63" l="1"/>
  <c r="U7" i="2" l="1"/>
  <c r="U14" i="2" l="1"/>
  <c r="U17" i="2" s="1"/>
  <c r="S52" i="45" l="1"/>
  <c r="S58" i="45" s="1"/>
  <c r="U22" i="2"/>
  <c r="U24" i="2" s="1"/>
  <c r="T6" i="45"/>
  <c r="T21" i="45" s="1"/>
  <c r="T39" i="45" s="1"/>
  <c r="T50" i="45" s="1"/>
  <c r="T52" i="45" s="1"/>
  <c r="T58" i="45" s="1"/>
  <c r="N52" i="45"/>
  <c r="N58" i="45" s="1"/>
  <c r="R52" i="45"/>
  <c r="R58" i="45" s="1"/>
  <c r="P52" i="45"/>
  <c r="P58" i="45" s="1"/>
  <c r="U32" i="2" l="1"/>
  <c r="U26" i="2"/>
  <c r="S5" i="3"/>
  <c r="S14" i="3" s="1"/>
  <c r="O52" i="45" l="1"/>
  <c r="O58" i="45" s="1"/>
  <c r="L52" i="45"/>
  <c r="L58" i="45" s="1"/>
  <c r="H52" i="45"/>
  <c r="H58" i="45" s="1"/>
  <c r="Q52" i="45"/>
  <c r="Q58" i="45" s="1"/>
  <c r="J52" i="45"/>
  <c r="J58" i="45" s="1"/>
  <c r="T36" i="63"/>
  <c r="T24" i="63" s="1"/>
  <c r="M52" i="45"/>
  <c r="M58" i="45" s="1"/>
  <c r="T44" i="63" l="1"/>
  <c r="G52" i="45" l="1"/>
  <c r="G58" i="45" s="1"/>
  <c r="F52" i="45"/>
  <c r="F58" i="45" s="1"/>
  <c r="K52" i="45"/>
  <c r="K58" i="45" s="1"/>
  <c r="I52" i="45"/>
  <c r="I58" i="45" s="1"/>
  <c r="E52" i="45" l="1"/>
  <c r="E58" i="45" s="1"/>
  <c r="E8" i="39" l="1"/>
  <c r="F8" i="39"/>
  <c r="F1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Caixa</author>
  </authors>
  <commentList>
    <comment ref="A24" authorId="0" shapeId="0" xr:uid="{C83A8472-A6E8-4A8A-BB2B-C1BBDF972239}">
      <text>
        <r>
          <rPr>
            <b/>
            <sz val="9"/>
            <color indexed="81"/>
            <rFont val="Segoe UI"/>
            <family val="2"/>
          </rPr>
          <t>Caixa:</t>
        </r>
        <r>
          <rPr>
            <sz val="9"/>
            <color indexed="81"/>
            <rFont val="Segoe UI"/>
            <family val="2"/>
          </rPr>
          <t xml:space="preserve">
Para atender à formalidade da DVA, os sinais aritméticos dos registros de distribuição serão invertidos. A lógica, todavia, é inversa.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Roberto Ruas Guimarães Junior</author>
  </authors>
  <commentList>
    <comment ref="A4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 xml:space="preserve">8.1.7.21+
8.1.7.06+
8.1.7.75
</t>
        </r>
      </text>
    </comment>
    <comment ref="A5" authorId="0" shapeId="0" xr:uid="{00000000-0006-0000-2C00-000002000000}">
      <text>
        <r>
          <rPr>
            <b/>
            <sz val="9"/>
            <color indexed="81"/>
            <rFont val="Tahoma"/>
            <family val="2"/>
          </rPr>
          <t>8.1.7.63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2C00-000003000000}">
      <text>
        <r>
          <rPr>
            <b/>
            <sz val="9"/>
            <color indexed="81"/>
            <rFont val="Tahoma"/>
            <family val="2"/>
          </rPr>
          <t>8.1.7.03+
8.1.7.24+
8.1.7.60+
8.1.7.99+
8.1.7.69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<sst xmlns="http://schemas.openxmlformats.org/spreadsheetml/2006/main" count="5258" uniqueCount="1364">
  <si>
    <t>TITULOS DE RENDA FIXA</t>
  </si>
  <si>
    <t>1.3.1.10.30</t>
  </si>
  <si>
    <t>CDB - INSTITUICAO FINANCEIRA LIGADA</t>
  </si>
  <si>
    <t>1.3.1.10.30.01</t>
  </si>
  <si>
    <t>TITULOS DE RENDA VARIAVEL</t>
  </si>
  <si>
    <t>1.3.1.20.10</t>
  </si>
  <si>
    <t>ACOES DE COMPANHIAS ABERTAS</t>
  </si>
  <si>
    <t>1.3.1.20.10.10</t>
  </si>
  <si>
    <t>1.3.1.20.20</t>
  </si>
  <si>
    <t>ACOES DE COMPANHIAS FECHADAS</t>
  </si>
  <si>
    <t>1.3.1.20.20.10</t>
  </si>
  <si>
    <t>ACOES DE COMPANHIAS FECHADAS CAIXAPAR</t>
  </si>
  <si>
    <t>1.8</t>
  </si>
  <si>
    <t>OUTROS CREDITOS</t>
  </si>
  <si>
    <t>RENDAS A RECEBER</t>
  </si>
  <si>
    <t>1.8.3.60</t>
  </si>
  <si>
    <t>DIVIDENDOS E BONIFICACOES EM DINHEIRO A RECEBER</t>
  </si>
  <si>
    <t>1.8.3.60.11</t>
  </si>
  <si>
    <t>1.8.3.60.11.01</t>
  </si>
  <si>
    <t>1.8.3.60.11.02</t>
  </si>
  <si>
    <t>DIVERSOS</t>
  </si>
  <si>
    <t>1.8.8.25</t>
  </si>
  <si>
    <t>CREDITOS TRIBUTARIOS IMPOSTOS E CONTRIB</t>
  </si>
  <si>
    <t>1.8.8.25.51</t>
  </si>
  <si>
    <t>1.8.8.25.51.01</t>
  </si>
  <si>
    <t>1.8.8.25.51.02</t>
  </si>
  <si>
    <t>1.8.8.45</t>
  </si>
  <si>
    <t>IMPOSTOS E CONTRIBUICOES A COMPENSAR</t>
  </si>
  <si>
    <t>INVESTIMENTOS</t>
  </si>
  <si>
    <t>2.1.2</t>
  </si>
  <si>
    <t>PARTICIPACOES EM COLIGADAS E CONTROLADAS NO PAIS</t>
  </si>
  <si>
    <t>2.1.2.10</t>
  </si>
  <si>
    <t>PARTICIPACOES EM COLIGADAS E CONTROLADAS</t>
  </si>
  <si>
    <t>IMOBILIZADO DE USO</t>
  </si>
  <si>
    <t>2.2.4</t>
  </si>
  <si>
    <t>INSTALACOES MOVEIS E EQUIPAMENTOS DE USO</t>
  </si>
  <si>
    <t>2.2.4.99</t>
  </si>
  <si>
    <t>DEPRECIACAO ACUM DE MOVEIS E EQUIPAM DE USO(-)</t>
  </si>
  <si>
    <t>2.2.4.99.10</t>
  </si>
  <si>
    <t>2.2.4.99.10.20</t>
  </si>
  <si>
    <t>CONTAS DE RESULTADO DEVEDORAS</t>
  </si>
  <si>
    <t>8.1</t>
  </si>
  <si>
    <t>DESPESAS OPERACIONAIS</t>
  </si>
  <si>
    <t>DESPESAS DE PARTICIPACOES</t>
  </si>
  <si>
    <t>8.1.6.20</t>
  </si>
  <si>
    <t>DESPESAS DE AJUSTES EM INVEST COLIG E CONTROL</t>
  </si>
  <si>
    <t>8.1.6.20.10</t>
  </si>
  <si>
    <t>DESPESAS DE AJUSTES EM INVEST EM COLIG E CONTROL</t>
  </si>
  <si>
    <t>8.1.6.20.10.20</t>
  </si>
  <si>
    <t>8.1.6.20.10.21</t>
  </si>
  <si>
    <t>8.1.6.20.10.30</t>
  </si>
  <si>
    <t>8.1.7</t>
  </si>
  <si>
    <t>DESPESAS ADMINISTRATIVAS</t>
  </si>
  <si>
    <t>8.1.7.03</t>
  </si>
  <si>
    <t>DESPESAS DE AGUA ENERGIA E GAS</t>
  </si>
  <si>
    <t>8.1.7.03.11</t>
  </si>
  <si>
    <t>8.1.7.03.11.01</t>
  </si>
  <si>
    <t>8.1.7.06</t>
  </si>
  <si>
    <t>DESPESAS DE ALUGUEIS</t>
  </si>
  <si>
    <t>8.1.7.06.11</t>
  </si>
  <si>
    <t>8.1.7.06.11.01</t>
  </si>
  <si>
    <t>8.1.7.18</t>
  </si>
  <si>
    <t>DESPESAS DE HONORARIOS</t>
  </si>
  <si>
    <t>8.1.7.18.21</t>
  </si>
  <si>
    <t>8.1.7.18.21.01</t>
  </si>
  <si>
    <t>8.1.7.18.21.02</t>
  </si>
  <si>
    <t>8.1.7.18.21.03</t>
  </si>
  <si>
    <t>8.1.7.18.21.05</t>
  </si>
  <si>
    <t>8.1.7.18.21.07</t>
  </si>
  <si>
    <t>8.1.7.18.21.14</t>
  </si>
  <si>
    <t>8.1.7.18.21.15</t>
  </si>
  <si>
    <t>8.1.7.18.21.16</t>
  </si>
  <si>
    <t>8.1.7.21</t>
  </si>
  <si>
    <t>DESPESAS DE MANUTENCAO E CONSERVACAO DE BENS</t>
  </si>
  <si>
    <t>8.1.7.21.11</t>
  </si>
  <si>
    <t>DESP DE MANUT E CONSERVACAO DE BENS - CAIXAPAR</t>
  </si>
  <si>
    <t>8.1.7.21.11.01</t>
  </si>
  <si>
    <t>8.1.7.27</t>
  </si>
  <si>
    <t>DESPESAS DE PESSOAL - BENEFICIOS</t>
  </si>
  <si>
    <t>8.1.7.27.12</t>
  </si>
  <si>
    <t>8.1.7.27.12.01</t>
  </si>
  <si>
    <t>8.1.7.27.12.03</t>
  </si>
  <si>
    <t>8.1.7.30</t>
  </si>
  <si>
    <t>DESPESAS DE PESSOAL - ENCARGOS SOCIAIS</t>
  </si>
  <si>
    <t>8.1.7.30.12</t>
  </si>
  <si>
    <t>8.1.7.30.12.01</t>
  </si>
  <si>
    <t>8.1.7.30.12.02</t>
  </si>
  <si>
    <t>8.1.7.30.52</t>
  </si>
  <si>
    <t>8.1.7.30.52.01</t>
  </si>
  <si>
    <t>8.1.7.30.62</t>
  </si>
  <si>
    <t>8.1.7.30.62.02</t>
  </si>
  <si>
    <t>8.1.7.30.97</t>
  </si>
  <si>
    <t>8.1.7.30.97.01</t>
  </si>
  <si>
    <t>8.1.7.33</t>
  </si>
  <si>
    <t>DESPESAS DE PESSOAL - PROVENTOS</t>
  </si>
  <si>
    <t>8.1.7.33.11</t>
  </si>
  <si>
    <t>8.1.7.33.11.01</t>
  </si>
  <si>
    <t>8.1.7.33.11.02</t>
  </si>
  <si>
    <t>8.1.7.33.11.03</t>
  </si>
  <si>
    <t>8.1.7.33.11.04</t>
  </si>
  <si>
    <t>8.1.7.33.11.06</t>
  </si>
  <si>
    <t>8.1.7.33.11.11</t>
  </si>
  <si>
    <t>8.1.7.33.11.13</t>
  </si>
  <si>
    <t>8.1.7.33.11.14</t>
  </si>
  <si>
    <t>8.1.7.33.11.15</t>
  </si>
  <si>
    <t>8.1.7.33.11.16</t>
  </si>
  <si>
    <t>8.1.7.60</t>
  </si>
  <si>
    <t>DESPESAS DE SERVICOS DE VIGILANCIA E SEGURANCA</t>
  </si>
  <si>
    <t>8.1.7.60.11</t>
  </si>
  <si>
    <t>8.1.7.60.11.01</t>
  </si>
  <si>
    <t>8.1.7.63</t>
  </si>
  <si>
    <t>DESPESAS DE SERVICOS TECNICOS ESPECIALIZADOS</t>
  </si>
  <si>
    <t>8.1.7.63.20</t>
  </si>
  <si>
    <t>8.1.7.63.20.01</t>
  </si>
  <si>
    <t>8.1.7.69</t>
  </si>
  <si>
    <t>DESPESAS TRIBUTARIAS</t>
  </si>
  <si>
    <t>8.1.7.69.20</t>
  </si>
  <si>
    <t>8.1.7.69.20.02</t>
  </si>
  <si>
    <t>8.1.7.75</t>
  </si>
  <si>
    <t>DESPESAS DE VIAGEM NO PAIS</t>
  </si>
  <si>
    <t>8.1.7.75.20</t>
  </si>
  <si>
    <t>8.1.7.75.20.01</t>
  </si>
  <si>
    <t>8.1.7.99</t>
  </si>
  <si>
    <t>OUTRAS DESPESAS ADMINISTRATIVAS</t>
  </si>
  <si>
    <t>8.1.7.99.50</t>
  </si>
  <si>
    <t>8.1.7.99.50.99</t>
  </si>
  <si>
    <t>8.1.8</t>
  </si>
  <si>
    <t>APROVISIONAMENTOS E AJUSTES PATRIMONIAIS</t>
  </si>
  <si>
    <t>8.1.8.20</t>
  </si>
  <si>
    <t>DESPESAS DE DEPRECIACAO</t>
  </si>
  <si>
    <t>8.1.8.20.10</t>
  </si>
  <si>
    <t>8.1.8.20.10.20</t>
  </si>
  <si>
    <t>OUTRAS DESPESAS OPERACIONAIS</t>
  </si>
  <si>
    <t>8.1.9.30</t>
  </si>
  <si>
    <t>DESPESAS DE CONTRIBUICAO AO COFINS</t>
  </si>
  <si>
    <t>8.1.9.30.11</t>
  </si>
  <si>
    <t>8.1.9.30.11.01</t>
  </si>
  <si>
    <t>8.1.9.33</t>
  </si>
  <si>
    <t>DESPESAS DE CONTRIBUICAO AO PIS/PASEP</t>
  </si>
  <si>
    <t>8.1.9.33.11</t>
  </si>
  <si>
    <t>8.1.9.33.11.01</t>
  </si>
  <si>
    <t>8.1.9.99</t>
  </si>
  <si>
    <t>8.1.9.99.50</t>
  </si>
  <si>
    <t>OUTRAS DESPESAS OPERACIONAIS - CAIXAPAR</t>
  </si>
  <si>
    <t>8.1.9.99.50.01</t>
  </si>
  <si>
    <t>8.1.9.99.50.04</t>
  </si>
  <si>
    <t>8.1.9.99.50.05</t>
  </si>
  <si>
    <t>8.9</t>
  </si>
  <si>
    <t>APURACAO DE RESULTADO</t>
  </si>
  <si>
    <t>8.9.4</t>
  </si>
  <si>
    <t>IMPOSTO DE RENDA</t>
  </si>
  <si>
    <t>8.9.4.10</t>
  </si>
  <si>
    <t>8.9.4.10.11.01</t>
  </si>
  <si>
    <t>8.9.4.10.31</t>
  </si>
  <si>
    <t>8.9.4.20</t>
  </si>
  <si>
    <t>CONTRIBUICAO SOCIAL</t>
  </si>
  <si>
    <t>8.9.4.20.11.01</t>
  </si>
  <si>
    <t>8.9.4.20.31</t>
  </si>
  <si>
    <t>4.9</t>
  </si>
  <si>
    <t>OUTRAS OBRIGACOES</t>
  </si>
  <si>
    <t>4.9.4</t>
  </si>
  <si>
    <t>FISCAIS E PREVIDENCIARIAS</t>
  </si>
  <si>
    <t>4.9.4.10.11</t>
  </si>
  <si>
    <t>4.9.4.10.11.02</t>
  </si>
  <si>
    <t>4.9.4.10.11.03</t>
  </si>
  <si>
    <t>4.9.4.10.11.04</t>
  </si>
  <si>
    <t>4.9.4.30.99</t>
  </si>
  <si>
    <t>OUTRAS</t>
  </si>
  <si>
    <t>4.9.4.30.99.01</t>
  </si>
  <si>
    <t>4.9.4.30.99.02</t>
  </si>
  <si>
    <t>DIVERSAS</t>
  </si>
  <si>
    <t>4.9.9.30</t>
  </si>
  <si>
    <t>PROVISAO PARA PAGAMENTOS A EFETUAR</t>
  </si>
  <si>
    <t>4.9.9.30.11</t>
  </si>
  <si>
    <t>4.9.9.30.11.05</t>
  </si>
  <si>
    <t>4.9.9.30.11.06</t>
  </si>
  <si>
    <t>4.9.9.30.11.07</t>
  </si>
  <si>
    <t>4.9.9.92</t>
  </si>
  <si>
    <t>CREDORES DIVERSOS - PAIS</t>
  </si>
  <si>
    <t>4.9.9.92.51</t>
  </si>
  <si>
    <t>4.9.9.92.51.01</t>
  </si>
  <si>
    <t>4.9.9.92.51.02</t>
  </si>
  <si>
    <t>4.9.9.92.51.03</t>
  </si>
  <si>
    <t>4.9.9.92.51.05</t>
  </si>
  <si>
    <t>PATRIMONIO LIQUIDO</t>
  </si>
  <si>
    <t>6.1</t>
  </si>
  <si>
    <t>6.1.1</t>
  </si>
  <si>
    <t>CAPITAL SOCIAL</t>
  </si>
  <si>
    <t>CAPITAL AUTORIZADO</t>
  </si>
  <si>
    <t>6.1.1.10.10</t>
  </si>
  <si>
    <t>CAPITAL</t>
  </si>
  <si>
    <t>6.1.1.10.10.14</t>
  </si>
  <si>
    <t>CAPITAL A REALIZAR (-)</t>
  </si>
  <si>
    <t>6.1.1.50.10</t>
  </si>
  <si>
    <t>CAPITAL A REALIZAR/-/</t>
  </si>
  <si>
    <t>6.1.1.50.10.03</t>
  </si>
  <si>
    <t>RESERVAS DE LUCROS</t>
  </si>
  <si>
    <t>6.1.5.10</t>
  </si>
  <si>
    <t>RESERVA LEGAL</t>
  </si>
  <si>
    <t>6.1.5.10.20</t>
  </si>
  <si>
    <t>6.1.5.10.20.01</t>
  </si>
  <si>
    <t>6.1.5.20</t>
  </si>
  <si>
    <t>RESERVAS ESTATUTARIAS</t>
  </si>
  <si>
    <t>6.1.5.20.10</t>
  </si>
  <si>
    <t>6.1.5.20.10.20</t>
  </si>
  <si>
    <t>AJUSTES DE AVALIACAO PATRIMONIAL</t>
  </si>
  <si>
    <t>6.1.6.10</t>
  </si>
  <si>
    <t>TITULOS DISPONIVEIS PARA A VENDA</t>
  </si>
  <si>
    <t>6.1.6.10.10</t>
  </si>
  <si>
    <t>PROPRIOS</t>
  </si>
  <si>
    <t>6.1.6.10.10.20</t>
  </si>
  <si>
    <t>6.1.6.10.10.21</t>
  </si>
  <si>
    <t>TIT DISP VENDA - PROV/TRIB/-/CAIXAPAR</t>
  </si>
  <si>
    <t>6.1.6.10.20</t>
  </si>
  <si>
    <t>6.1.6.10.20.30</t>
  </si>
  <si>
    <t>CONTAS DE RESULTADO CREDORAS</t>
  </si>
  <si>
    <t>7.1</t>
  </si>
  <si>
    <t>RECEITAS OPERACIONAIS</t>
  </si>
  <si>
    <t>RENDAS APLIC INTERFINANCEIRAS LIQUIDEZ</t>
  </si>
  <si>
    <t>7.1.4.10</t>
  </si>
  <si>
    <t>RENDAS DE APLIC EM OPER COMPROMISSADAS</t>
  </si>
  <si>
    <t>7.1.4.10.11</t>
  </si>
  <si>
    <t>POSICAO BANCADA - CAIXAPAR</t>
  </si>
  <si>
    <t>7.1.4.10.11.01</t>
  </si>
  <si>
    <t>RDAS C/TIT VAL MOBIL E INSTRUM DERIVAT</t>
  </si>
  <si>
    <t>7.1.5.10</t>
  </si>
  <si>
    <t>RENDAS DE TITULOS DE RENDA FIXA</t>
  </si>
  <si>
    <t>7.1.5.10.12</t>
  </si>
  <si>
    <t>7.1.5.10.12.01</t>
  </si>
  <si>
    <t>RENDAS DE PARTICIPACOES</t>
  </si>
  <si>
    <t>7.1.8.20</t>
  </si>
  <si>
    <t>RENDAS DE AJUSTES EM INVEST EM COLIG E CONTROL</t>
  </si>
  <si>
    <t>7.1.8.20.10</t>
  </si>
  <si>
    <t>7.1.8.20.10.20</t>
  </si>
  <si>
    <t>7.1.8.20.10.30</t>
  </si>
  <si>
    <t>RENDAS PART AJUSTE IFRS POSITIVO CAIXAPAR</t>
  </si>
  <si>
    <t>OUTRAS RECEITAS OPERACIONAIS</t>
  </si>
  <si>
    <t>7.1.9.99</t>
  </si>
  <si>
    <t>OUTRAS RENDAS OPERACIONAIS</t>
  </si>
  <si>
    <t>7.1.9.99.14</t>
  </si>
  <si>
    <t>7.1.9.99.14.20</t>
  </si>
  <si>
    <t>7.1.9.99.90</t>
  </si>
  <si>
    <t>-</t>
  </si>
  <si>
    <t>Total</t>
  </si>
  <si>
    <t>TOTAL</t>
  </si>
  <si>
    <t>NÃO CIRCULANTE</t>
  </si>
  <si>
    <t>DVA</t>
  </si>
  <si>
    <t>4.9.3.10.11.01</t>
  </si>
  <si>
    <t>Descrição</t>
  </si>
  <si>
    <t>DRE</t>
  </si>
  <si>
    <t xml:space="preserve">   Despesas com manutenção, conservação de bens, viagens e aluguel</t>
  </si>
  <si>
    <t xml:space="preserve">   Despesas com serviços técnicos especializados</t>
  </si>
  <si>
    <t>Salário</t>
  </si>
  <si>
    <t>Amortização</t>
  </si>
  <si>
    <t>Marcas</t>
  </si>
  <si>
    <t>Contratos</t>
  </si>
  <si>
    <t>Capital Social</t>
  </si>
  <si>
    <t>Reservas</t>
  </si>
  <si>
    <t>Outras Despesas Administrativas</t>
  </si>
  <si>
    <t>Despesas com manutenção, conservação de bens, viagens e aluguel</t>
  </si>
  <si>
    <t>Despesas com serviços técnicos especializados</t>
  </si>
  <si>
    <t>Outras Despesas Operacionais</t>
  </si>
  <si>
    <t>Administrador R$</t>
  </si>
  <si>
    <t>Empregado R$</t>
  </si>
  <si>
    <t>Maior Salário</t>
  </si>
  <si>
    <t>Salário Médio</t>
  </si>
  <si>
    <t>Menor Salário</t>
  </si>
  <si>
    <t xml:space="preserve">    Reserva Legal</t>
  </si>
  <si>
    <t>2.1.2.10.11</t>
  </si>
  <si>
    <t>2.1.2.10.11.01</t>
  </si>
  <si>
    <t>2.1.2.10.12</t>
  </si>
  <si>
    <t>2.1.2.10.12.01</t>
  </si>
  <si>
    <t>2.1.2.10.14</t>
  </si>
  <si>
    <t>2.1.2.10.14.01</t>
  </si>
  <si>
    <t>2.1.2.10.14.02</t>
  </si>
  <si>
    <t>2.1.2.10.21</t>
  </si>
  <si>
    <t>OUTRAS PART-VALOR DE EQUIVALENCIA PATRIMONIAL</t>
  </si>
  <si>
    <t>2.1.2.10.21.15</t>
  </si>
  <si>
    <t>2.1.2.10.21.16</t>
  </si>
  <si>
    <t>2.1.2.10.21.17</t>
  </si>
  <si>
    <t>2.1.2.10.21.21</t>
  </si>
  <si>
    <t>2.1.2.10.21.22</t>
  </si>
  <si>
    <t>2.1.2.10.21.23</t>
  </si>
  <si>
    <t>2.1.2.10.21.24</t>
  </si>
  <si>
    <t>2.1.2.10.21.26</t>
  </si>
  <si>
    <t>2.1.2.10.22</t>
  </si>
  <si>
    <t>2.1.2.10.22.01</t>
  </si>
  <si>
    <t>2.1.2.10.24</t>
  </si>
  <si>
    <t>2.1.2.10.24.01</t>
  </si>
  <si>
    <t>2.1.2.10.24.02</t>
  </si>
  <si>
    <t>8.1.7.99.50.03</t>
  </si>
  <si>
    <t>6.1.3</t>
  </si>
  <si>
    <t>RESERVAS DE CAPITAL</t>
  </si>
  <si>
    <t>6.1.3.99</t>
  </si>
  <si>
    <t>OUTRAS RESERVAS DE CAPITAL</t>
  </si>
  <si>
    <t>6.1.3.99.20</t>
  </si>
  <si>
    <t>6.1.3.99.20.04</t>
  </si>
  <si>
    <t>6.1.6.90</t>
  </si>
  <si>
    <t>OUTROS AJUSTES DE AVALIACAO PATRIMONIAL</t>
  </si>
  <si>
    <t>6.1.6.90.20</t>
  </si>
  <si>
    <t>6.1.6.90.20.01</t>
  </si>
  <si>
    <t>4.9.4.10.11.01</t>
  </si>
  <si>
    <t>1.8.8.92</t>
  </si>
  <si>
    <t>DEVEDORES DIVERSOS - PAIS</t>
  </si>
  <si>
    <t>1.8.8.92.36</t>
  </si>
  <si>
    <t>1.8.8.92.36.10</t>
  </si>
  <si>
    <t xml:space="preserve">   Diversas (água, energia, assinaturas e outras)</t>
  </si>
  <si>
    <t>Total de outras despesas administrativas</t>
  </si>
  <si>
    <t>SOCIAIS E ESTATUTARIAS</t>
  </si>
  <si>
    <t>4.9.3.10</t>
  </si>
  <si>
    <t>DIVIDENDOS E BONIFICACOES A PAGAR</t>
  </si>
  <si>
    <t>4.9.3.10.11</t>
  </si>
  <si>
    <t>DIVIDENDOS E BONIFICACOES A PAGAR CAIXAPAR</t>
  </si>
  <si>
    <t>DIVIDENDOS PROPOSTOS A PAGAR CAIXAPAR</t>
  </si>
  <si>
    <t>RENDAS DE AJUSTES INVEST CONTROL COLIG CAIXAPAR</t>
  </si>
  <si>
    <t>1.1</t>
  </si>
  <si>
    <t>1.2</t>
  </si>
  <si>
    <t>1.3.1.20</t>
  </si>
  <si>
    <t>1.3.1.10</t>
  </si>
  <si>
    <t>1.8.3</t>
  </si>
  <si>
    <t>1.8.8</t>
  </si>
  <si>
    <t>2.1</t>
  </si>
  <si>
    <t>2.2</t>
  </si>
  <si>
    <t>4.9.3</t>
  </si>
  <si>
    <t>4.9.4.10</t>
  </si>
  <si>
    <t>4.9.9</t>
  </si>
  <si>
    <t>4.9.4.30</t>
  </si>
  <si>
    <t>6.1.1.10</t>
  </si>
  <si>
    <t>6.1.1.50</t>
  </si>
  <si>
    <t>6.1.6</t>
  </si>
  <si>
    <t>6.1.5</t>
  </si>
  <si>
    <t>Diversas</t>
  </si>
  <si>
    <t>7.1.8</t>
  </si>
  <si>
    <t>7.1.9.99.26.21</t>
  </si>
  <si>
    <t>8.1.6</t>
  </si>
  <si>
    <t>7.1.9</t>
  </si>
  <si>
    <t>7.1.9.99.26</t>
  </si>
  <si>
    <t>8.1.9</t>
  </si>
  <si>
    <t>8.1.9.99.50.03</t>
  </si>
  <si>
    <t>7.1.4</t>
  </si>
  <si>
    <t>7.1.5</t>
  </si>
  <si>
    <t>8.9.4.10.11</t>
  </si>
  <si>
    <t>8.9.4.20.11</t>
  </si>
  <si>
    <t>8.9.4.10.31.01</t>
  </si>
  <si>
    <t>8.9.4.20.31.01</t>
  </si>
  <si>
    <t>As notas explicativas da administração são parte integrante das demonstrações contábeis.</t>
  </si>
  <si>
    <t>CIRCULANTE E NAO CIRCULANTE</t>
  </si>
  <si>
    <t>DISPONIBILIDADES</t>
  </si>
  <si>
    <t>1.1.1</t>
  </si>
  <si>
    <t>CAIXA</t>
  </si>
  <si>
    <t>1.1.1.13</t>
  </si>
  <si>
    <t>CAIXA - CAIXAPAR</t>
  </si>
  <si>
    <t>1.1.1.13.10</t>
  </si>
  <si>
    <t>1.1.1.13.10.01</t>
  </si>
  <si>
    <t>1.1.2</t>
  </si>
  <si>
    <t>DEPOSITOS BANCARIOS</t>
  </si>
  <si>
    <t>1.1.2.92</t>
  </si>
  <si>
    <t>1.1.2.92.10</t>
  </si>
  <si>
    <t>1.1.2.92.10.01</t>
  </si>
  <si>
    <t>APLICACOES INTERFINANCEIRAS DE LIQUIDEZ</t>
  </si>
  <si>
    <t>1.2.1</t>
  </si>
  <si>
    <t>APLICACOES EM OPERACOES COMPROMISSADAS</t>
  </si>
  <si>
    <t>1.2.1.10</t>
  </si>
  <si>
    <t>REVENDAS A LIQUIDAR-POSICAO BANCADA</t>
  </si>
  <si>
    <t>Outras Receitas Operacionais</t>
  </si>
  <si>
    <t>1.3</t>
  </si>
  <si>
    <t>TITULOS E VALORES MOBILIARIOS</t>
  </si>
  <si>
    <t>1.3.1</t>
  </si>
  <si>
    <t>LIVRES</t>
  </si>
  <si>
    <t>2014</t>
  </si>
  <si>
    <t>CAIXA/CAIXAPAR</t>
  </si>
  <si>
    <t>DEPOSITOS BANCARIOS/CAIXAPAR</t>
  </si>
  <si>
    <t>1.2.1.10.07</t>
  </si>
  <si>
    <t>NOTAS DO TESOURO NACIONAL - REV A LIQ - POS BANC</t>
  </si>
  <si>
    <t>1.2.1.10.07.84</t>
  </si>
  <si>
    <t>NTN - REV A LIQ/POS BANC/CAIXAPAR</t>
  </si>
  <si>
    <t>CDB - TVM/TITULOS DE RENDA FIXA/CAIXAPAR</t>
  </si>
  <si>
    <t>1.3.1.15</t>
  </si>
  <si>
    <t>COTAS DE FUNDOS DE INVESTIMENTO</t>
  </si>
  <si>
    <t>1.3.1.15.25</t>
  </si>
  <si>
    <t>COTA DE FUNDO REFERENCIADO</t>
  </si>
  <si>
    <t>1.3.1.15.25.01</t>
  </si>
  <si>
    <t>COTAS DE FUNDOS REFERENCIADOS/CAIXAPAR</t>
  </si>
  <si>
    <t>TIT RDA VARL - ACOES DE CIAS ABERTAS/CAIXAPAR</t>
  </si>
  <si>
    <t>DIVID E BONIF A RECEBER/CAIXAPAR</t>
  </si>
  <si>
    <t>JCP A RECEBER/CAIXAPAR</t>
  </si>
  <si>
    <t>DIVIDENDOS A RECEBER/CAIXAPAR</t>
  </si>
  <si>
    <t>CR TRIBUT - DIF TEMPORARIAS/CAIXAPAR</t>
  </si>
  <si>
    <t>IRPJ - DIFERENCAS TEMPORARIAS/CAIXAPAR</t>
  </si>
  <si>
    <t>CSLL - DIFERENCAS TEMPORARIAS/CAIXAPAR</t>
  </si>
  <si>
    <t>1.8.8.45.11</t>
  </si>
  <si>
    <t>IMP E CONTR A COMPENSAR/CAIXAPAR</t>
  </si>
  <si>
    <t>1.8.8.45.11.01</t>
  </si>
  <si>
    <t>IMPOSTO DE RENDA A COMPENSAR/CAIXAPAR</t>
  </si>
  <si>
    <t>1.8.8.45.11.02</t>
  </si>
  <si>
    <t>ANTECIP DE IMPOSTO DE RENDA/CAIXAPAR</t>
  </si>
  <si>
    <t>1.8.8.45.11.04</t>
  </si>
  <si>
    <t>ANTECIP DE CSLL/CAIXAPAR</t>
  </si>
  <si>
    <t>OUTROS VLRS A RECEBER/CAIXAPAR</t>
  </si>
  <si>
    <t>AUTOR FUNC BACEN - VLR EQUIVALENCIA PATRIM</t>
  </si>
  <si>
    <t>AUTOR FUNC BACEN-AGIO BAS EXPECT RENT FUTURA</t>
  </si>
  <si>
    <t>AGIO EXPECT RENTAB FUTURA - BANCO PAN/CAIXAPAR</t>
  </si>
  <si>
    <t>AUTOR FUN BACEN-AGIO BAS FDO COM,INTANG E OUT RA</t>
  </si>
  <si>
    <t>INTANG - BANCO PAN/CAIXAPAR</t>
  </si>
  <si>
    <t>AMORT DO INTANG/-/BANCO PAN/CAIXAPAR</t>
  </si>
  <si>
    <t>PART MEP - ELO SERVICOS/CAIXAPAR</t>
  </si>
  <si>
    <t>PART MEP - CIBRASEC/CAIXAPAR</t>
  </si>
  <si>
    <t>2.1.2.10.21.18</t>
  </si>
  <si>
    <t>PART MEP - TECBAN/CAIXAPAR</t>
  </si>
  <si>
    <t>PART MEP - BRANES/CAIXAPAR</t>
  </si>
  <si>
    <t>PART MEP - HABITAR/CAIXAPAR</t>
  </si>
  <si>
    <t>PART MEP - FIP VENEZA/CAIXAPAR</t>
  </si>
  <si>
    <t>PART MEP - FIP AMSTERDAM/CAIXAPAR</t>
  </si>
  <si>
    <t>PART MEP - CAPGEMINI/CAIXAPAR</t>
  </si>
  <si>
    <t>2.1.2.10.21.27</t>
  </si>
  <si>
    <t>GANHO POR VAL NA PART DETIDA ANTERIORMENTE/CXPAR</t>
  </si>
  <si>
    <t>OUT PART-AGIO BASEADO EXPECTAT RENT FUTURA</t>
  </si>
  <si>
    <t>AGIO EXPECT RENTAB FUT - CAPGEMINI/CAIXAPAR</t>
  </si>
  <si>
    <t>OUT PART-AGIO BASEADO FDO COM, INTANG, OUT RAZOE</t>
  </si>
  <si>
    <t>INTANGIVEL - CAPGEMINI/CAIXAPAR</t>
  </si>
  <si>
    <t>AMORT DO INTANG/-/CAPGEMINI/CAIXAPAR</t>
  </si>
  <si>
    <t>2.2.4.20</t>
  </si>
  <si>
    <t>MOVEIS E EQUIPAMENTOS DE USO</t>
  </si>
  <si>
    <t>2.2.4.20.02</t>
  </si>
  <si>
    <t>MOVEIS E EQUIP DE USO/CAIXAPAR</t>
  </si>
  <si>
    <t>2.2.4.20.02.01</t>
  </si>
  <si>
    <t>DEPREC ACUM DE MOVEIS E EQUIP DE USO/-/</t>
  </si>
  <si>
    <t>DEPR ACUM MOVEIS E EQUIP DE USO/-/CAIXAPAR</t>
  </si>
  <si>
    <t>DESP AJ EM INVEST EM COLIG E CONTROL/CAIXAPAR</t>
  </si>
  <si>
    <t>DESP DE AJ EM INVEST/-/AMORT INTANG/CAIXAPAR</t>
  </si>
  <si>
    <t>DESP DE AJ EM INVEST - AJUSTE IFRS/CAIXAPAR</t>
  </si>
  <si>
    <t>DESPESAS DE AGUA ENERGIA E GAS/CAIXAPAR</t>
  </si>
  <si>
    <t>DESPESAS C/ CONSUMO DE AGUA E ENERGIA/CAIXAPAR</t>
  </si>
  <si>
    <t>DESPESAS DE ALUGUEIS/CAIXAPAR</t>
  </si>
  <si>
    <t>DIRETORIA E CONSELHO DE ADMINISTRACAO/CAIXAPAR</t>
  </si>
  <si>
    <t>DESPESAS COM FGTS - DIRETORIA/CAIXAPAR</t>
  </si>
  <si>
    <t>DESPESAS COM INSS - DIRETORIA/CAIXAPAR</t>
  </si>
  <si>
    <t>DESPESAS C/ FUNCEF - DIRETORIA/CAIXAPAR</t>
  </si>
  <si>
    <t>DESP AUX ALIMENTACAO - DIRETORIA/CAIXAPAR</t>
  </si>
  <si>
    <t>8.1.7.18.21.10</t>
  </si>
  <si>
    <t>DESP DE PROV DE 13º SAL - DIRETORIA/CAIXAPAR</t>
  </si>
  <si>
    <t>8.1.7.18.21.11</t>
  </si>
  <si>
    <t>DESP DE FGTS S/13º SAL - DIRETORIA/CAIXAPAR</t>
  </si>
  <si>
    <t>8.1.7.18.21.12</t>
  </si>
  <si>
    <t>DESP C/ INSS - DIRETORIA/CAIXAPAR</t>
  </si>
  <si>
    <t>8.1.7.18.21.13</t>
  </si>
  <si>
    <t>DESP C/ FUNCEF S/13ºSAL - DIRETORIA/CAIXAPAR</t>
  </si>
  <si>
    <t>DESP DE PROV DE FERIAS - DIRETORIA/CAIXAPAR</t>
  </si>
  <si>
    <t>DESP C/ PROV LICENCA PREMIO - DIRET/CAIXAPAR</t>
  </si>
  <si>
    <t>DESP C/ PROV DE APIP - DIRETORIA/CAIXAPAR</t>
  </si>
  <si>
    <t>DESP DE MANUT E CONSERV DE BENS/CAIXAPAR</t>
  </si>
  <si>
    <t>DESPESAS DE PESSOAL - BENEFICIOS/CAIXAPAR</t>
  </si>
  <si>
    <t>DESP DE PESSOAL - PROG ASSIST A INFAN/CAIXAPAR</t>
  </si>
  <si>
    <t>DESP DE PESSOAL - AUX ALIMENTACAO/CAIXAPAR</t>
  </si>
  <si>
    <t>8.1.7.27.12.04</t>
  </si>
  <si>
    <t>DESP DE PESSOAL - VALE TRANSPORTE/CAIXAPAR</t>
  </si>
  <si>
    <t>DESP DE PESSOAL ENC SOCIAIS - FGTS/CAIXAPAR</t>
  </si>
  <si>
    <t>DESP DE ENC SOCIAIS - FGTS/CAIXAPAR</t>
  </si>
  <si>
    <t>DESP DE ENC SOCIAIS - FGTS S/ 13º SAL/CAIXAPAR</t>
  </si>
  <si>
    <t>DESP DE ENC SOCIAIS - PREVI SOCIAL/CAIXAPAR</t>
  </si>
  <si>
    <t>DESP DE ENC SOCIAIS - INSS/CAIXAPAR</t>
  </si>
  <si>
    <t>DESP DE ENC SOCIAIS - PREVI COMPLEMENT/CAIXAPAR</t>
  </si>
  <si>
    <t>DESP DE ENC SOCIAIS - FUNCEF S/13º SAL/CAIXAPAR</t>
  </si>
  <si>
    <t>DESP DE ENC SOCIAIS - OUTROS/CAIXAPAR</t>
  </si>
  <si>
    <t>DESP DE ENC SOCIAIS - SAL EDUCACAO/CAIXAPAR</t>
  </si>
  <si>
    <t>DESPESAS DE PESSOAL - PROVENTOS/CAIXAPAR</t>
  </si>
  <si>
    <t>DESP DE PESSOAL - SAL PADRAO/CAIXAPAR</t>
  </si>
  <si>
    <t>DESP DE PESSOAL - FUNCAO DE CONFIANCA/CAIXAPAR</t>
  </si>
  <si>
    <t>DESP DE PESSOAL - HORA EXTRA/CAIXAPAR</t>
  </si>
  <si>
    <t>DESP DE PESSOAL - ADIC TEMPO DE SERV/CAIXAPAR</t>
  </si>
  <si>
    <t>DESP DE PESSOAL - CTVA/CAIXAPAR</t>
  </si>
  <si>
    <t>DESP DE PESSOAL - APIP/CAIXAPAR</t>
  </si>
  <si>
    <t>DESP DE PESSOAL - PROV 13º SAL/CAIXAPAR</t>
  </si>
  <si>
    <t>DESP DE PESSOAL - PROV DE FERIAS/CAIXAPAR</t>
  </si>
  <si>
    <t>DESP DE PESSOAL - LICENCA PREMIO/CAIXAPAR</t>
  </si>
  <si>
    <t>DESP DE PESSOAL - ADIC NOTURNO/CAIXAPAR</t>
  </si>
  <si>
    <t>8.1.7.33.11.99</t>
  </si>
  <si>
    <t>DESP DE PESSOAL - OUTRAS DESP VANT PESS/CAIXAPAR</t>
  </si>
  <si>
    <t>DESP DE SERV DE VIGILANCIA E SEGURANÇA/CAIXAPAR</t>
  </si>
  <si>
    <t>DESP DE SERV DE VIGILANCIA E SEGURANCA/CAIXAPAR</t>
  </si>
  <si>
    <t>DESPESAS DE SERVICOS DE CONSULTORIA/CAIXAPAR</t>
  </si>
  <si>
    <t>DESP DE SERV DE CONSULTORIA/CAIXAPAR</t>
  </si>
  <si>
    <t>DESPESAS TRIBUTARIAS/CAIXAPAR</t>
  </si>
  <si>
    <t>DESPESAS DE TRIBUTOS FEDERAIS - IOF/CAIXAPAR</t>
  </si>
  <si>
    <t>DESPESAS DE VIAGENS NO PAIS/CAIXAPAR</t>
  </si>
  <si>
    <t>OUTRAS DESPESAS ADMINISTRATIVAS/CAIXAPAR</t>
  </si>
  <si>
    <t>8.1.7.99.50.02</t>
  </si>
  <si>
    <t>OUTRAS DESP TX E TARIFAS AQUISICOES/CAIXAPAR</t>
  </si>
  <si>
    <t>DESP C EMOLUMENTOS E REGIST CART/CAIXAPAR</t>
  </si>
  <si>
    <t>DESPESAS DE DEPRECIACAO MOV EQUIP/CAIXAPAR</t>
  </si>
  <si>
    <t>DESPESAS DE CONTRIBUICAO AO COFINS/CAIXAPAR</t>
  </si>
  <si>
    <t>8.1.9.30.20</t>
  </si>
  <si>
    <t>COFINS DIFERIDO</t>
  </si>
  <si>
    <t>8.1.9.30.20.06</t>
  </si>
  <si>
    <t>ATIVO/PASSIVO FISCAL DIFERIDO COFINS/CAIXAPAR</t>
  </si>
  <si>
    <t>DESPESAS DE CONTRIBUICAO AO PIS/PASEP/CAIXAPAR</t>
  </si>
  <si>
    <t>DESPESAS DE CONTRIBUICAO AO PASEP/CAIXAPAR</t>
  </si>
  <si>
    <t>8.1.9.33.20</t>
  </si>
  <si>
    <t>PASEP DIFERIDO</t>
  </si>
  <si>
    <t>8.1.9.33.20.06</t>
  </si>
  <si>
    <t>ATIVO/PASSIVO FISCAL DIFERIDO PASEP/CAIXAPAR</t>
  </si>
  <si>
    <t>DESP OPER - TARIFAS BANCARIAS/CAIXAPAR</t>
  </si>
  <si>
    <t>8.1.9.99.50.02</t>
  </si>
  <si>
    <t>DESP OPER - ATUAL MONET OBRIG/CAIXAPAR</t>
  </si>
  <si>
    <t>DESP OPER - ATUAL MONET DIVIDENDOS/CAIXAPAR</t>
  </si>
  <si>
    <t>DESP OPER - MULTAS S/ RECOLH ATRASO/CAIXAPAR</t>
  </si>
  <si>
    <t>DESP OPER - COMPARTILH SERV CAIXA/CAIXAPAR</t>
  </si>
  <si>
    <t>IMPOSTO DE RENDA/CAIXAPAR</t>
  </si>
  <si>
    <t>8.9.4.10.20</t>
  </si>
  <si>
    <t>8.9.4.10.20.05</t>
  </si>
  <si>
    <t>PASSIVO FISCAL DIFERIDO DE IRPJ/CAIXAPAR</t>
  </si>
  <si>
    <t>ATIVO FISCAL DIFERIDO/CAIXAPAR</t>
  </si>
  <si>
    <t>DIFERENCAS TEMPORARIAS - IRPJ/CAIXAPAR</t>
  </si>
  <si>
    <t>CONTRIBUICAO SOCIAL/CAIXAPAR</t>
  </si>
  <si>
    <t>8.9.4.20.20</t>
  </si>
  <si>
    <t>8.9.4.20.20.05</t>
  </si>
  <si>
    <t>PASSIVO FISCAL DIFERIDO DE CSLL/CAIXAPAR</t>
  </si>
  <si>
    <t>ATIVO FISCAL DIFERIDO - CSLL/CAIXAPAR</t>
  </si>
  <si>
    <t>DIFERENCAS TEMPORARIAS CSLL/CAIXAPAR</t>
  </si>
  <si>
    <t>IMP E CONTRIB SOBRE LUCROS A PAGAR</t>
  </si>
  <si>
    <t>IMP E CONTRIB S/ LUCROS A PAGAR/CAIXAPAR</t>
  </si>
  <si>
    <t>IMPOSTO DE RENDA A PAGAR/CAIXAPAR</t>
  </si>
  <si>
    <t>CONTRIB SOCIAL A PAGAR/CAIXAPAR</t>
  </si>
  <si>
    <t>COFINS A PAGAR/CAIXAPAR</t>
  </si>
  <si>
    <t>PASEP A PAGAR/CAIXAPAR</t>
  </si>
  <si>
    <t>4.9.4.20</t>
  </si>
  <si>
    <t>IMPOSTOS E CONTRIBUICOES A RECOLHER</t>
  </si>
  <si>
    <t>4.9.4.20.21</t>
  </si>
  <si>
    <t>IMP E CONTRIB S/ SALARIOS/CAIXAPAR</t>
  </si>
  <si>
    <t>4.9.4.20.21.02</t>
  </si>
  <si>
    <t>IMPOSTO DE RENDA A RECOLHER/CAIXAPAR</t>
  </si>
  <si>
    <t>PROV P IMPOSTOS E CONTRIBUICOES DIFERIDOS</t>
  </si>
  <si>
    <t>PROV IRPJ/CSLL DIFERIDOS PART/CAIXAPAR</t>
  </si>
  <si>
    <t>PROV PASEP/COFINS DIFERIDOS PART/CAIXAPAR</t>
  </si>
  <si>
    <t>DESPESAS DE PESSOAL/CAIXAPAR</t>
  </si>
  <si>
    <t>4.9.9.30.11.01</t>
  </si>
  <si>
    <t>PROV 13º SALARIO/CAIXAPAR</t>
  </si>
  <si>
    <t>4.9.9.30.11.02</t>
  </si>
  <si>
    <t>PROV FUNCEF S/13º SALARIO/CAIXAPAR</t>
  </si>
  <si>
    <t>4.9.9.30.11.03</t>
  </si>
  <si>
    <t>PROV FGTS S/13º SALARIO/CAIXAPAR</t>
  </si>
  <si>
    <t>4.9.9.30.11.04</t>
  </si>
  <si>
    <t>PROV INSS E SAL EDUC S/13º SAL/CAIXAPAR</t>
  </si>
  <si>
    <t>PROV DE FERIAS/CAIXAPAR</t>
  </si>
  <si>
    <t>PROV LICENCA PREMIO/CAIXAPAR</t>
  </si>
  <si>
    <t>PROV ABONO ASSIDUIDADE/CAIXAPAR</t>
  </si>
  <si>
    <t>4.9.9.85</t>
  </si>
  <si>
    <t>VALORES A PAGAR A SOCIEDADES LIGADAS</t>
  </si>
  <si>
    <t>4.9.9.85.10</t>
  </si>
  <si>
    <t>4.9.9.85.10.82</t>
  </si>
  <si>
    <t>VALORES A PAGAR A SOCIEDADES LIGADAS/CAIXAPAR</t>
  </si>
  <si>
    <t>CONTAS A PAGAR/CAIXAPAR</t>
  </si>
  <si>
    <t>FOLHA DE PGTO - DIRETORIA/CAIXAPAR</t>
  </si>
  <si>
    <t>FOLHA DE PGTO - EMPREG DISPONIB CAIXA/CAIXAPAR</t>
  </si>
  <si>
    <t>CONV DE COMPARTILHAMENTO - CAIXA/CAIXAPAR</t>
  </si>
  <si>
    <t>CONV ATIVIDADES OPERACIONAIS/CAIXAPAR</t>
  </si>
  <si>
    <t>CAPITAL AUTORIZADO A INTEGRALIZAR/-/CAIXAPAR</t>
  </si>
  <si>
    <t>OUTRAS RESERVAS DE CAPITAL/CAIXAPAR</t>
  </si>
  <si>
    <t>RESERVA LEGAL/CAIXAPAR</t>
  </si>
  <si>
    <t>RESERVAS MARGEM OPERACIONAL/CAIXAPAR</t>
  </si>
  <si>
    <t>TIT DISP VENDA - AJUSTE VR MERCADO/CAIXAPAR</t>
  </si>
  <si>
    <t>TIT DISPON P VENDA - COLIG E CONTROL/CAIXAPAR</t>
  </si>
  <si>
    <t>VAL/DESVAL TVM COLIG E CONTROL/CAIXAPAR</t>
  </si>
  <si>
    <t>MUDANCA PARTICIP RELATIVA DOS INVEST/CAIXAPAR</t>
  </si>
  <si>
    <t>RDAS DE APLIC EM OPS COMPROMISSADAS/PB/CAIXAPAR</t>
  </si>
  <si>
    <t>RENDAS DE TITULOS DE RENDA FIXA/CAIXAPAR</t>
  </si>
  <si>
    <t>RDAS DE TITULOS DE RENDA FIXA/CAIXAPAR</t>
  </si>
  <si>
    <t>7.1.5.20</t>
  </si>
  <si>
    <t>RENDAS DE TITULOS DE RENDA VARIAVEL</t>
  </si>
  <si>
    <t>7.1.5.20.12</t>
  </si>
  <si>
    <t>REC DE APLIC EM RENDA VARIAVEL/CAIXAPAR</t>
  </si>
  <si>
    <t>7.1.5.20.12.01</t>
  </si>
  <si>
    <t>RDAS ACOES CIAS ABERTAS - DIVID CIELO/CAIXAPAR</t>
  </si>
  <si>
    <t>7.1.5.20.12.02</t>
  </si>
  <si>
    <t>RDAS ACOES CIAS ABERTAS - JCP CIELO/CAIXAPAR</t>
  </si>
  <si>
    <t>7.1.5.20.12.03</t>
  </si>
  <si>
    <t>RDAS ACOES CIAS FECHADAS/CAIXAPAR</t>
  </si>
  <si>
    <t>7.1.5.40</t>
  </si>
  <si>
    <t>RENDAS DE APLICACOES EM FUNDOS DE INVESTIMENTO</t>
  </si>
  <si>
    <t>7.1.5.40.10</t>
  </si>
  <si>
    <t>RENDAS DE APLICACOES EM FUNDOS DE INVEST</t>
  </si>
  <si>
    <t>7.1.5.40.10.17</t>
  </si>
  <si>
    <t>RDAS APLIC FDO INVEST REF/CAIXAPAR</t>
  </si>
  <si>
    <t>OUTRAS RDAS OPS - S/CREDITOS TRIB/CAIXAPAR</t>
  </si>
  <si>
    <t>RECEITA ATUAL MONET S/ IRPJ COMPENSAR/CAIXAPAR</t>
  </si>
  <si>
    <t>REC DE JCP E DE DIVIDENDOS/CAIXAPAR</t>
  </si>
  <si>
    <t>RECEITA DE JCP PARTICIPACOES/CAIXAPAR</t>
  </si>
  <si>
    <t>OUTRAS RENDAS OPERACIONAIS - DIVERSOS</t>
  </si>
  <si>
    <t>7.1.9.99.90.66</t>
  </si>
  <si>
    <t>RDAS OPS - ATUAL MONET S/ OUT OPERACOES/CAIXAPAR</t>
  </si>
  <si>
    <t>PART MEP - BANCO PAN/CAIXAPAR</t>
  </si>
  <si>
    <t>PART MEP - CAIXA SEGUROS/CAIXAPAR</t>
  </si>
  <si>
    <t>CAPITAL SUBSCRITO/CAIXAPAR</t>
  </si>
  <si>
    <t>Código da Conta</t>
  </si>
  <si>
    <t>Nome da Conta</t>
  </si>
  <si>
    <t>Balanço</t>
  </si>
  <si>
    <t>C1</t>
  </si>
  <si>
    <t>C2</t>
  </si>
  <si>
    <t>C3</t>
  </si>
  <si>
    <t>DMPL</t>
  </si>
  <si>
    <t>C4</t>
  </si>
  <si>
    <t>Check List = O total é igual ao especificado no Balanço?</t>
  </si>
  <si>
    <t>Capgemini</t>
  </si>
  <si>
    <t>PROVISAO IR - VALORES DIFERIDOS</t>
  </si>
  <si>
    <t>PROVISAO PARA CSLL - VALORES DIFERIDOS</t>
  </si>
  <si>
    <t>8.1.7.36</t>
  </si>
  <si>
    <t xml:space="preserve">    Capital Autorizado</t>
  </si>
  <si>
    <t xml:space="preserve">    Capital a Realizar</t>
  </si>
  <si>
    <t>Reservas de Lucros</t>
  </si>
  <si>
    <t xml:space="preserve">    Base de Cálculo dos Dividendos</t>
  </si>
  <si>
    <t xml:space="preserve">    Dividendos Propostos</t>
  </si>
  <si>
    <t xml:space="preserve"> Ajustes de Avaliação Patrimonial</t>
  </si>
  <si>
    <t>N4</t>
  </si>
  <si>
    <t>N11</t>
  </si>
  <si>
    <t>N12</t>
  </si>
  <si>
    <t>Saldo Inicial</t>
  </si>
  <si>
    <t>Saldo Final</t>
  </si>
  <si>
    <t>--------------</t>
  </si>
  <si>
    <t>--</t>
  </si>
  <si>
    <t>CODIGO</t>
  </si>
  <si>
    <t>DV</t>
  </si>
  <si>
    <t>NOME</t>
  </si>
  <si>
    <t>PERMANENTE</t>
  </si>
  <si>
    <t>GANHO VALORIZ PART DETIDA ANTER TECBAN/CXPAR</t>
  </si>
  <si>
    <t>2.1.2.10.21.29</t>
  </si>
  <si>
    <t>PART MEP - PAN CORRETORA</t>
  </si>
  <si>
    <t>COMPENSACAO</t>
  </si>
  <si>
    <t>3.0</t>
  </si>
  <si>
    <t>3.0.9</t>
  </si>
  <si>
    <t>CONTROLE</t>
  </si>
  <si>
    <t>3.0.9.99</t>
  </si>
  <si>
    <t>OUTRAS CONTAS DE COMPENSACAO ATIVAS</t>
  </si>
  <si>
    <t>3.0.9.99.99</t>
  </si>
  <si>
    <t>3.0.9.99.99.03</t>
  </si>
  <si>
    <t>OUT CTAS COMP ATIVAS BANCO PAN/CAIXAPAR</t>
  </si>
  <si>
    <t>3.0.9.99.99.04</t>
  </si>
  <si>
    <t>OUT CTAS COMP ATIVAS CAPGEMINI/CAIXAPAR</t>
  </si>
  <si>
    <t>DESP DE HONOR - DIRETORIA/CONS DE ADM/CAIXAPAR</t>
  </si>
  <si>
    <t>8.1.7.30.62.01</t>
  </si>
  <si>
    <t>DESP DE ENC SOCIAIS - FUNCEF/CAIXAPAR</t>
  </si>
  <si>
    <t>9.0</t>
  </si>
  <si>
    <t>9.0.9</t>
  </si>
  <si>
    <t>9.0.9.99</t>
  </si>
  <si>
    <t>OUTRAS CONTAS DE COMPENSACAO PASSIVAS</t>
  </si>
  <si>
    <t>9.0.9.99.99</t>
  </si>
  <si>
    <t>OUTRAS CONTAS DE COMPENSACAO PASSIVAS-DIVERSOS</t>
  </si>
  <si>
    <t>9.0.9.99.99.03</t>
  </si>
  <si>
    <t>OUT CTAS COMP PASSIVAS - BANCO PAN/CAIXAPAR</t>
  </si>
  <si>
    <t>9.0.9.99.99.04</t>
  </si>
  <si>
    <t>OUT CTAS COMP PASSIVAS - CAPGEMINI/CAIXAPAR</t>
  </si>
  <si>
    <t>_x001B_E_x001B_E_x001B_&amp;l26A_x001B_&amp;l1</t>
  </si>
  <si>
    <t>X_x001B_</t>
  </si>
  <si>
    <t>ENTIDADE :  CA</t>
  </si>
  <si>
    <t>IX</t>
  </si>
  <si>
    <t>2.1.2.10.11.02</t>
  </si>
  <si>
    <t>PART MEP - LUCRO NAO REAL/-/BANCO PAN/CAIXAPAR</t>
  </si>
  <si>
    <t>UNIDADE RESPON</t>
  </si>
  <si>
    <t>SA</t>
  </si>
  <si>
    <t>VEL: 0000-0</t>
  </si>
  <si>
    <t>DESTINO:</t>
  </si>
  <si>
    <t>PZ</t>
  </si>
  <si>
    <t>PRESIDENTE</t>
  </si>
  <si>
    <t>VICE-PRESIDENTE</t>
  </si>
  <si>
    <t>FABIO FERREIRA</t>
  </si>
  <si>
    <t>C</t>
  </si>
  <si>
    <t>LETO                          FABIO LENZA</t>
  </si>
  <si>
    <t>JOAQUIM LIMA DE OLIVEIRA</t>
  </si>
  <si>
    <t>VICE-PRESIDENT</t>
  </si>
  <si>
    <t>E</t>
  </si>
  <si>
    <t>FUNDOS E PROGR</t>
  </si>
  <si>
    <t>AM</t>
  </si>
  <si>
    <t>AS DO GOVERNO FEDERAL</t>
  </si>
  <si>
    <t>JOSE CARLOS ME</t>
  </si>
  <si>
    <t>DA</t>
  </si>
  <si>
    <t>GLIA FILHO                    JOSE HENRIQUE MARQUES DA CRUZ</t>
  </si>
  <si>
    <t>Z.</t>
  </si>
  <si>
    <t>1.8.8.45.21</t>
  </si>
  <si>
    <t>1.8.8.45.21.01</t>
  </si>
  <si>
    <t>2.1.2.10.21.20</t>
  </si>
  <si>
    <t>DESPESAS DE TRIBUTOS FEDERAIS - IOF</t>
  </si>
  <si>
    <t>6.1.8</t>
  </si>
  <si>
    <t>LUCROS OU PREJUIZOS ACUMULADOS</t>
  </si>
  <si>
    <t>6.1.8.10</t>
  </si>
  <si>
    <t>6.1.8.10.10</t>
  </si>
  <si>
    <t>6.1.8.10.10.03</t>
  </si>
  <si>
    <t>LUCROS OU PREJUIZOS-ACUMULADO</t>
  </si>
  <si>
    <t>DIRETOR-EXECUT</t>
  </si>
  <si>
    <t>IV</t>
  </si>
  <si>
    <t>A soma confere?</t>
  </si>
  <si>
    <t>Sim</t>
  </si>
  <si>
    <t>PART MEP - LUCRO NAO REAL/-/BANCO P</t>
  </si>
  <si>
    <t>2.1.2.10.21.30</t>
  </si>
  <si>
    <t>MAIS VALIA DE ATIVOS LIQUIDOS - TEC</t>
  </si>
  <si>
    <t>2.1.2.10.21.31</t>
  </si>
  <si>
    <t>INTANGIVEL - TECBAN/CAIXAPAR</t>
  </si>
  <si>
    <t>7.1.8.20.10.22</t>
  </si>
  <si>
    <t>RDAS DE AJ INVEST GANHO COMPRA VANT</t>
  </si>
  <si>
    <t>MIRIAM APARECI</t>
  </si>
  <si>
    <t>BELCHIOR                     ALEXSANDRA CAMELO BRAGA</t>
  </si>
  <si>
    <t>ANTONIO CARLOS FERREIRA</t>
  </si>
  <si>
    <t>A Nº499/2014, DE 23/04/2014</t>
  </si>
  <si>
    <t>TEOTONIO COSTA REZENDE</t>
  </si>
  <si>
    <t>VICE-PRESIDENTE - INTERINO       PORTARI</t>
  </si>
  <si>
    <t>A Nº072/2015, DE 12/01/2015</t>
  </si>
  <si>
    <t>ROBERTO DERZIE</t>
  </si>
  <si>
    <t>D</t>
  </si>
  <si>
    <t>E SANT'ANNA                   SERGIO PINHEIRO RODRIGUES</t>
  </si>
  <si>
    <t>FERNANDA OLIVEIRA DE SOUZA SOARES</t>
  </si>
  <si>
    <t>GERENTE NACIONAL DE CONTABILIDADE DE TER</t>
  </si>
  <si>
    <t>CEIROS    CRC/DF 11025/0</t>
  </si>
  <si>
    <t>&amp;l1O_x001B_(s13H_x001B_(19U_x001B_&amp;l5.3C_x001B_&amp;l66F_x001B_&amp;a3L_x001B_&amp;k0G02/03/2015   PZ.ARQ: 30A</t>
  </si>
  <si>
    <t>C E F   -   C A I X A    E C O N O M I</t>
  </si>
  <si>
    <t>C A    F E D E R A L                       PAG.     1</t>
  </si>
  <si>
    <t>SICOF - SISTEMA DE CONTABILIDADE DE ENTIDADES</t>
  </si>
  <si>
    <t>SOCIAIS ADMINISTRADAS           CAI621SA - #10</t>
  </si>
  <si>
    <t>APAR                       B A L A N C E T E   M E N S A L   A T I V</t>
  </si>
  <si>
    <t>O                               REF:    12.2014</t>
  </si>
  <si>
    <t>---------------------------------------------------------------------</t>
  </si>
  <si>
    <t>-----------------------------------------------</t>
  </si>
  <si>
    <t>1A.VIA: 0000-0           2A.VIA: 0000-0           3A.VIA: 0000-0</t>
  </si>
  <si>
    <t>4A.VIA: 0000-0           5A.VIA: 0000-0</t>
  </si>
  <si>
    <t>_x000C_02/03/2015</t>
  </si>
  <si>
    <t>.ARQ: 30A                C E F   -   C A I X A    E C O N O M I C A</t>
  </si>
  <si>
    <t>2.1.2.10.21.28</t>
  </si>
  <si>
    <t>PARTICIPACAO TECBAN - AUM DE PART/CAIXAPAR</t>
  </si>
  <si>
    <t>2.1.2.10.22.02</t>
  </si>
  <si>
    <t>AGIO EXPECT RENTAB FUT - PAN CORRETORA</t>
  </si>
  <si>
    <t>PROVISãO PARA CSLL - VALORES DIFERIDOS</t>
  </si>
  <si>
    <t>APAR                       B A L A N C E T E   M E N S A L   P A S S</t>
  </si>
  <si>
    <t>I V O                           REF:    12.2014</t>
  </si>
  <si>
    <t>DIVIDENDOS E BONIFIC A PAGAR/CAIXAPAR</t>
  </si>
  <si>
    <t>DIVIDENDOS PROPOSTOS A PAGAR/CAIXAPAR</t>
  </si>
  <si>
    <t>F E D E R A L                       PAG.     8</t>
  </si>
  <si>
    <t>PASSIVO PROVISORIO:            6.504.608.315,91</t>
  </si>
  <si>
    <t>F E D E R A L                       PAG.     9</t>
  </si>
  <si>
    <t>TOTAL ATIVO:          6.504.608.315,91                   TOT</t>
  </si>
  <si>
    <t>AL PASSIVO:          6.504.608.315,91</t>
  </si>
  <si>
    <t>VICE-PRESIDENTE - INTERINA       PORTAR</t>
  </si>
  <si>
    <t>I      VICE-PRESIDENTE</t>
  </si>
  <si>
    <t>4A.VIA: 0000-0           5A.VIA: 0000-0_x001B_E</t>
  </si>
  <si>
    <t>Outros Resultados Abrangentes</t>
  </si>
  <si>
    <t>Prazo</t>
  </si>
  <si>
    <t>IMP E CONTR A COMP EXERC ANT/CAIXAPAR</t>
  </si>
  <si>
    <t>IR A COMPENSAR EXERC ANT/CAIXAPAR</t>
  </si>
  <si>
    <t>PART MEP - CRESCER/CAIXAPAR</t>
  </si>
  <si>
    <t>2.1.2.10.21.35</t>
  </si>
  <si>
    <t>2.1.2.10.21.32</t>
  </si>
  <si>
    <t>AMORT DO INTANG/-/TECBAN/CAIXAPAR</t>
  </si>
  <si>
    <t>2.1.2.10.22.03</t>
  </si>
  <si>
    <t>ÁGIO EXPECT RENTAB FUT - PAN SEGURO</t>
  </si>
  <si>
    <t>2.1.2.10.26</t>
  </si>
  <si>
    <t>OUTRAS PART - INTANGIVEL TECBAN/CAIX</t>
  </si>
  <si>
    <t>2.1.2.10.26.01</t>
  </si>
  <si>
    <t xml:space="preserve"> INTANGIVEL - TECBAN/CAIXAPAR</t>
  </si>
  <si>
    <t>2.1.2.10.26.02</t>
  </si>
  <si>
    <t>8.1.7.57</t>
  </si>
  <si>
    <t>8.1.7.57.10</t>
  </si>
  <si>
    <t>8.1.7.57.10.37</t>
  </si>
  <si>
    <t>8.1.7.63.20.02</t>
  </si>
  <si>
    <t>8.1.9.30.11.02</t>
  </si>
  <si>
    <t xml:space="preserve">DESP COFINS EXERCICIO ANTERIORES/CAIXAPAR                                 </t>
  </si>
  <si>
    <t>8.1.9.33.11.02</t>
  </si>
  <si>
    <t>DESP PASEP EXERCICIO ANTERIORES/CAIXAPAR</t>
  </si>
  <si>
    <t>8.9.4.10.11.02</t>
  </si>
  <si>
    <t>IMPOSTO DE RENDA do EXERCICIO CISÃO /CAIXAPAR</t>
  </si>
  <si>
    <t>8.9.4.20.11.02</t>
  </si>
  <si>
    <t>CONTRIBUICAO SOCIAL EXERCICIO ANTERIORES/CXPAR</t>
  </si>
  <si>
    <t>8.9.4.20.11.06</t>
  </si>
  <si>
    <t>CONTRIBUIÇAO SOCIAL - CISÃO</t>
  </si>
  <si>
    <t>4.9.4.20.90</t>
  </si>
  <si>
    <t>IMP E CONTRIB A RECOLHER - OUTROS</t>
  </si>
  <si>
    <t>4.9.4.20.90.01</t>
  </si>
  <si>
    <t>IR RETIDO A RECOLHER/CAIXAPAR</t>
  </si>
  <si>
    <t>4.9.4.20.90.72</t>
  </si>
  <si>
    <t>CSLL RETIDA A RECOLHER/CAIXAPAR</t>
  </si>
  <si>
    <t>4.9.4.20.90.73</t>
  </si>
  <si>
    <t>COFINS RETIDA A RECOLHER/CAIXAPAR</t>
  </si>
  <si>
    <t>4.9.4.20.90.74</t>
  </si>
  <si>
    <t>PIS/PASEP RETIDO A RECOLHER/CAIXAPAR</t>
  </si>
  <si>
    <t>4.9.9.92.51.06</t>
  </si>
  <si>
    <t>DIVIDENDOS A PAGAR P/  CAIXA SEGURIDADE/CXPAR</t>
  </si>
  <si>
    <t>4.9.9.92.51.07</t>
  </si>
  <si>
    <t>JCP A PAGAR P/  CAIXA SEGURIDADE/CXPAR</t>
  </si>
  <si>
    <t>6.1.8.10.11</t>
  </si>
  <si>
    <t>6.1.8.10.11.04</t>
  </si>
  <si>
    <t>AMORT DO INTANG  /-/TECBAN/CAIXAPAR</t>
  </si>
  <si>
    <t>PART MEP - PAN SEGUROS/CAIXAPAR</t>
  </si>
  <si>
    <t>LUCROS OU PREJUIZOS ACUMULADOS/CAIXAPAR</t>
  </si>
  <si>
    <t>PREJUIZOS ACUMULADOS</t>
  </si>
  <si>
    <t>DESPESAS DE SERVIÇOS DE TERCEIROS</t>
  </si>
  <si>
    <t>DESPESAS DE SERVIÇOS DE RECEPCIONISTAS</t>
  </si>
  <si>
    <t>DESP DE SERV DE AUDITORIA</t>
  </si>
  <si>
    <t>A    F E D E R A L                       PAG.     1</t>
  </si>
  <si>
    <t>SICOF - SISTEMA DE CONTABILIDADE DE ENTI</t>
  </si>
  <si>
    <t>DADES SOCIAIS ADMINISTRADAS           CAI621SA - #10</t>
  </si>
  <si>
    <t>----------------------------------------------------</t>
  </si>
  <si>
    <t>CDB - TVM/TITULOS DE RENDA FIXA</t>
  </si>
  <si>
    <t>DIVID E BONIF A RECEBER</t>
  </si>
  <si>
    <t>JCP A RECEBER</t>
  </si>
  <si>
    <t>DIVIDENDOS A RECEBER</t>
  </si>
  <si>
    <t>IRPJ - DIFERENCAS TEMPORARIAS</t>
  </si>
  <si>
    <t>CSLL - DIFERENCAS TEMPORARIAS</t>
  </si>
  <si>
    <t>DESPESAS C/ CONSUMO DE AGUA E ENERGIA</t>
  </si>
  <si>
    <t>DIRETORIA E CONSELHO DE ADMINISTRACAO</t>
  </si>
  <si>
    <t>DESP DE HONOR - DIRETORIA/CONS DE ADMINISTRACAO</t>
  </si>
  <si>
    <t>DESPESAS COM FGTS - DIRETORIA</t>
  </si>
  <si>
    <t>DESPESAS COM INSS - DIRETORIA</t>
  </si>
  <si>
    <t>DESP AUX ALIMENTACAO - DIRETORIA</t>
  </si>
  <si>
    <t>DESP DE PROV DE 13º SAL - DIRETORIA</t>
  </si>
  <si>
    <t>DESP DE FGTS S/13º SAL - DIRETORIA</t>
  </si>
  <si>
    <t>DESP C/ INSS - DIRETORIA</t>
  </si>
  <si>
    <t>DESP C/ FUNCEF S/13ºSAL - DIRETORIA</t>
  </si>
  <si>
    <t>DESP DE PROV DE FERIAS - DIRETORIA</t>
  </si>
  <si>
    <t>DESP C/ PROV DE APIP - DIRETORIA</t>
  </si>
  <si>
    <t>DESP DE MANUT E CONSERVACAO DE BENS</t>
  </si>
  <si>
    <t>DESP DE MANUT E CONSERV DE BENS</t>
  </si>
  <si>
    <t>DESP DE PESSOAL - AUX ALIMENTACAO</t>
  </si>
  <si>
    <t>DESP DE PESSOAL ENC SOCIAIS - FGTS</t>
  </si>
  <si>
    <t>DESP DE ENC SOCIAIS - FGTS</t>
  </si>
  <si>
    <t>DESP DE ENC SOCIAIS - FGTS S/ 13º SAL</t>
  </si>
  <si>
    <t>DESP DE ENC SOCIAIS - PREVI SOCIAL</t>
  </si>
  <si>
    <t>DESP DE ENC SOCIAIS - INSS</t>
  </si>
  <si>
    <t>DESP DE ENC SOCIAIS - PREVI COMPLEMENTAR</t>
  </si>
  <si>
    <t>DESP DE ENC SOCIAIS - FUNCEF</t>
  </si>
  <si>
    <t>DESP DE ENC SOCIAIS - FUNCEF S/13º SALARIO</t>
  </si>
  <si>
    <t>DESP DE ENC SOCIAIS - OUTROS</t>
  </si>
  <si>
    <t>DESP DE ENC SOCIAIS - SAL EDUCACAO</t>
  </si>
  <si>
    <t>DESP DE PESSOAL - SAL PADRAO</t>
  </si>
  <si>
    <t>DESP DE PESSOAL - FUNCAO DE CONFIANCA</t>
  </si>
  <si>
    <t>DESP DE PESSOAL - CTVA</t>
  </si>
  <si>
    <t>DESP DE PESSOAL - APIP</t>
  </si>
  <si>
    <t>DESP DE PESSOAL - PROV 13º SALARIO</t>
  </si>
  <si>
    <t>DESP DE PESSOAL - PROV DE FERIAS</t>
  </si>
  <si>
    <t>DESPESAS DE SERVICOS DE TERCEIROS</t>
  </si>
  <si>
    <t>DESP DE SERV DE VIGILANCIA E SEGURANÇA</t>
  </si>
  <si>
    <t>DESP DE SERV DE VIGILANCIA E SEGURANCA</t>
  </si>
  <si>
    <t>OUTRAS DESPESAS ADMINISTRATIVAS/SUBS</t>
  </si>
  <si>
    <t>DESPESAS DE CONTRIBUICAO AO PASEP</t>
  </si>
  <si>
    <t>DESP OPER - TARIFAS BANCARIAS</t>
  </si>
  <si>
    <t>DESP OPER - COMPARTILH SERV CAIXA</t>
  </si>
  <si>
    <t>ATIVO FISCAL DIFERIDO</t>
  </si>
  <si>
    <t>DIFERENCAS TEMPORARIAS - IRPJ</t>
  </si>
  <si>
    <t>ATIVO FISCAL DIFERIDO - CSLL</t>
  </si>
  <si>
    <t>DIFERENCAS TEMPORARIAS CSLL</t>
  </si>
  <si>
    <t>IMP E CONTRIB S/ LUCROS A PAGAR</t>
  </si>
  <si>
    <t>IMPOSTO DE RENDA A PAGAR</t>
  </si>
  <si>
    <t>CONTRIB SOCIAL A PAGAR</t>
  </si>
  <si>
    <t>COFINS A PAGAR</t>
  </si>
  <si>
    <t>PASEP A PAGAR</t>
  </si>
  <si>
    <t>IMP E CONTRIB S/ SALARIOS</t>
  </si>
  <si>
    <t>IMPOSTO DE RENDA A RECOLHER</t>
  </si>
  <si>
    <t>DESPESAS DE PESSOAL</t>
  </si>
  <si>
    <t>PROV 13º SALARIO</t>
  </si>
  <si>
    <t>PROV FUNCEF S/13º SALARIO</t>
  </si>
  <si>
    <t>PROV FGTS S/13º SALARIO</t>
  </si>
  <si>
    <t>PROV INSS E SAL EDUC S/13º SALARIO</t>
  </si>
  <si>
    <t>PROV DE FERIAS</t>
  </si>
  <si>
    <t>PROV LICENCA PREMIO</t>
  </si>
  <si>
    <t>PROV ABONO ASSIDUIDADE</t>
  </si>
  <si>
    <t>CONTAS A PAGAR</t>
  </si>
  <si>
    <t>FOLHA DE PGTO - DIRETORIA</t>
  </si>
  <si>
    <t>FOLHA DE PGTO - EMPREG DISPONIB CAIXA</t>
  </si>
  <si>
    <t>CONV DE COMPARTILHAMENTO - CAIXA/SUBSIDIARIA</t>
  </si>
  <si>
    <t>CONV ATIVIDADES OPERACIONAIS</t>
  </si>
  <si>
    <t>TIT DISPON P VENDA - COLIG E CONTROL/SUBS</t>
  </si>
  <si>
    <t>VAL/DESVAL TVM COLIG E CONTROL</t>
  </si>
  <si>
    <t>6.1.6.90.30</t>
  </si>
  <si>
    <t>OUTROS AJUSTES DE AVALIACAO PATRIMONIAL -REFLEXA</t>
  </si>
  <si>
    <t>6.1.6.90.30.02</t>
  </si>
  <si>
    <t>OUTROS AJUSTES - RESERVA DE CAPITAL - REFLEXA</t>
  </si>
  <si>
    <t>RENDAS DE TITULOS DE RENDA FIXA/SUBS</t>
  </si>
  <si>
    <t>RDAS DE TITULOS DE RENDA FIXA</t>
  </si>
  <si>
    <t>RENDAS DE AJUSTES INVEST CONTROL COLIGADAS</t>
  </si>
  <si>
    <t>REC DE JCP E DE DIVIDENDOS SUBS</t>
  </si>
  <si>
    <t>RECEITA DE JCP PARTICIPACOES SUBS</t>
  </si>
  <si>
    <t>DIRETOR-PRESID</t>
  </si>
  <si>
    <t>ARQ: 30A                C E F   -   C A I X A    E C O N O M I C</t>
  </si>
  <si>
    <t>APAR                       B A L A N C E T E   M E N S A L   A T</t>
  </si>
  <si>
    <t>----------------------------------------------------------------</t>
  </si>
  <si>
    <t>NTN - REV A LIQ/POS BANC</t>
  </si>
  <si>
    <t>COTAS DE FUNDOS REFERENCIADOS</t>
  </si>
  <si>
    <t>TIT RDA VARL - ACOES DE CIAS ABERTAS</t>
  </si>
  <si>
    <t>IR A COMPENSAR EXERC ANTERIORES</t>
  </si>
  <si>
    <t>1.8.8.85</t>
  </si>
  <si>
    <t>VALORES A RECEBER DE SOCIEDADES LIGADAS</t>
  </si>
  <si>
    <t>1.8.8.85.10</t>
  </si>
  <si>
    <t>VLRS RECEBER DE SOCIEDADES LIGADAS</t>
  </si>
  <si>
    <t>1.8.8.85.10.03</t>
  </si>
  <si>
    <t>VALORES A RECEBER SOCIEDADES LIGADAS</t>
  </si>
  <si>
    <t>OUTROS VALORES A RECEBER - DIVERSOS</t>
  </si>
  <si>
    <t>MAIS VALIA DE ATIVOS LIQUIDOS - TECBAN/CAIXAPAR</t>
  </si>
  <si>
    <t>OUT PART-AGIO BASEADO FDO COM, INTANG, OUT RAZA</t>
  </si>
  <si>
    <t>OUTRAS PART - INTANGIVEL TECBAN/CAIXAPAR</t>
  </si>
  <si>
    <t>MOVEIS E EQUIP DE USO</t>
  </si>
  <si>
    <t>DEPR ACUM MOVEIS E EQUIP DE USO/-/</t>
  </si>
  <si>
    <t>DESP AJ EM INVEST EM COLIG E CONTROL</t>
  </si>
  <si>
    <t>DESP DE AJ EM INVEST/-/AMORT INTANG</t>
  </si>
  <si>
    <t>DESPESAS C/ FUNCEF - DIRETORIA</t>
  </si>
  <si>
    <t>DESP DE PESSOAL - PROG ASSIST A INFANCIA</t>
  </si>
  <si>
    <t>8.1.7.27.12.08</t>
  </si>
  <si>
    <t>DESP DE PESSOAL - PLR</t>
  </si>
  <si>
    <t>DESP DE PESSOAL - HORA EXTRA</t>
  </si>
  <si>
    <t>DESP DE PESSOAL - ADIC TEMPO DE SERVICO</t>
  </si>
  <si>
    <t>DESP DE PESSOAL - LICENCA PREMIO</t>
  </si>
  <si>
    <t>DESP DE PESSOAL - ADIC NOTURNO</t>
  </si>
  <si>
    <t>DESP DE PESSOAL - OUTRAS DESP VANT PESSOAIS</t>
  </si>
  <si>
    <t>DESPESAS DE SERVICOS DE CONSULTORIA</t>
  </si>
  <si>
    <t>DESP DE SERV DE CONSULTORIA</t>
  </si>
  <si>
    <t>DESP SERV DE AUDITORIA</t>
  </si>
  <si>
    <t>PROV IRPJ/CSLL DIFERIDOS PARTICIPACOES</t>
  </si>
  <si>
    <t>PROV PASEP/COFINS DIFERIDOS PARTICIPACOES</t>
  </si>
  <si>
    <t>VALORES A PAGAR A COLIGADAS E CONTROLADAS</t>
  </si>
  <si>
    <t>CAPITAL AUTORIZADO A INTEGRALIZAR/-/SUBS</t>
  </si>
  <si>
    <t>RESERVAS MARGEM OPERACIONAL</t>
  </si>
  <si>
    <t>TIT DISP VENDA - AJUSTE VR MERCADO</t>
  </si>
  <si>
    <t>TIT DISP VENDA - PROV/TRIB/-/</t>
  </si>
  <si>
    <t>MUDANCA PARTICIP RELATIVA DOS INVESTIMENTOS</t>
  </si>
  <si>
    <t>POSICAO BANCADA</t>
  </si>
  <si>
    <t>RDAS DE APLIC EM OPS COMPROMISSADAS/PB</t>
  </si>
  <si>
    <t>REC DE APLIC EM RENDA VARIAVEL</t>
  </si>
  <si>
    <t>7.1.9.99.90.67</t>
  </si>
  <si>
    <t>OUTRAS RDAS OPERACIONAIS - JUROS S/ MUTUO</t>
  </si>
  <si>
    <t>PAULO ROBERTO</t>
  </si>
  <si>
    <t>DO</t>
  </si>
  <si>
    <t>S SANTOS</t>
  </si>
  <si>
    <t>EN</t>
  </si>
  <si>
    <t>TE                            DIRETOR-GERAL</t>
  </si>
  <si>
    <t>DEMOSTHENES MA</t>
  </si>
  <si>
    <t>RQ</t>
  </si>
  <si>
    <t>UES                            OSWALDO SERRANO DE OLIVEIRA</t>
  </si>
  <si>
    <t>O                              DIRETOR-EXECUTIVO</t>
  </si>
  <si>
    <t>FERNANDA OLIVE</t>
  </si>
  <si>
    <t>IR</t>
  </si>
  <si>
    <t>A DE SOUZA SOARES</t>
  </si>
  <si>
    <t>GERENTE NACION</t>
  </si>
  <si>
    <t>AL</t>
  </si>
  <si>
    <t>DE CONTABILIDADE DE TERCEIROS</t>
  </si>
  <si>
    <t>CRC 11.025/0-7</t>
  </si>
  <si>
    <t>DF</t>
  </si>
  <si>
    <t>ok</t>
  </si>
  <si>
    <t>28/09/2015   P</t>
  </si>
  <si>
    <t>I V O                               REF:    06.2015</t>
  </si>
  <si>
    <t>IMP E CONTR A COMPENSAR/SUBS</t>
  </si>
  <si>
    <t>IMPOSTO DE RENDA A COMPENSAR</t>
  </si>
  <si>
    <t>ANTECIP DE IMPOSTO DE RENDA</t>
  </si>
  <si>
    <t>ANTECIP DE CSLL</t>
  </si>
  <si>
    <t>PART MEP - CAIXA SEGUROS</t>
  </si>
  <si>
    <t>PART MEP - PAN SEGUROS</t>
  </si>
  <si>
    <t>ÁGIO EXPECT RENTAB FUT - PAN SEGUROS</t>
  </si>
  <si>
    <t>DESP C/ PROV LICENCA PREMIO - DIRETORIA</t>
  </si>
  <si>
    <t>DESPESAS DE PESSOAL - TREINAMENTO</t>
  </si>
  <si>
    <t>8.1.7.36.30</t>
  </si>
  <si>
    <t>DESP DE PESSOAL - TREINAMENTO/CAIXAPAR</t>
  </si>
  <si>
    <t>8.1.7.36.30.99</t>
  </si>
  <si>
    <t>DESP DE PESSOAL - OUTRAS DESP TREINA/CAIXAPAR</t>
  </si>
  <si>
    <t>OUTRAS DESPESAS ADMINISTRATIVAS/SUB</t>
  </si>
  <si>
    <t>DESP COFINS EXERCICIO ANTERIORES/CAIXAPAR</t>
  </si>
  <si>
    <t>CONTRIBUICAO SOCIAL EXERCICIO ANTERIORES</t>
  </si>
  <si>
    <t>7.1.5.20.12.04</t>
  </si>
  <si>
    <t>RDAS ACOES CIAS ABERT EXERC ANTER- JCP CIELO/CXP</t>
  </si>
  <si>
    <t>RDAS DE AJ INVEST GANHO COMPRA VANTAJOSA</t>
  </si>
  <si>
    <t>04/02/2016   P</t>
  </si>
  <si>
    <t>ARQ: 30A                C E F   -   C A I X A    E C O N O M I</t>
  </si>
  <si>
    <t>SICOF - SISTEMA DE CONTABILIDADE DE ENT</t>
  </si>
  <si>
    <t>IDADES SOCIAIS ADMINISTRADAS           CAI621SA - #10</t>
  </si>
  <si>
    <t>APAR                       B A L A N C E T E   M E N S A L   A</t>
  </si>
  <si>
    <t>T I V O                               REF:    12.2015</t>
  </si>
  <si>
    <t>---------------------------------------------------------------</t>
  </si>
  <si>
    <t>-----------------------------------------------------</t>
  </si>
  <si>
    <t>CR TRIBUT - DIF TEMPORARIAS SUBS</t>
  </si>
  <si>
    <t>DESP DE AJ EM INVEST - AJUSTE IFRS</t>
  </si>
  <si>
    <t>APAR                       B A L A N C E T E   M E N S A L   P</t>
  </si>
  <si>
    <t>A S S I V O                           REF:    12.2015</t>
  </si>
  <si>
    <t>TOTAL PASSIVO:            3.808.452.360,92</t>
  </si>
  <si>
    <t>C A    F E D E R A L                       PAG.     8</t>
  </si>
  <si>
    <t>TOTAL ATIVO:          3.808.452.360,92</t>
  </si>
  <si>
    <t>TOTAL PASSIVO:          3.808.452.360,92</t>
  </si>
  <si>
    <t>1.SEM 2015</t>
  </si>
  <si>
    <t>VALOR</t>
  </si>
  <si>
    <t>CONTA</t>
  </si>
  <si>
    <t>49410+49420+499 - 49985</t>
  </si>
  <si>
    <t>DIFERENÇA</t>
  </si>
  <si>
    <t>RESULTADO</t>
  </si>
  <si>
    <t>resultado</t>
  </si>
  <si>
    <t>destinação</t>
  </si>
  <si>
    <t>margem oper</t>
  </si>
  <si>
    <t xml:space="preserve">    Lucros e Prejuízos Acumulados</t>
  </si>
  <si>
    <t>26/02/2016   P</t>
  </si>
  <si>
    <t>DIVIDENDOS E BONIFIC A PAGAR</t>
  </si>
  <si>
    <t>DIVIDENDOS PROPOSTOS A PAGAR</t>
  </si>
  <si>
    <t>TOTAL PASSIVO PROVISORIO:            3.808.452.360,92</t>
  </si>
  <si>
    <t>CISÃO PARCIAL - ACERVO CINDIDO</t>
  </si>
  <si>
    <t>JUN/15</t>
  </si>
  <si>
    <t>CAIXA Seguros</t>
  </si>
  <si>
    <t>PAN Corretora</t>
  </si>
  <si>
    <t>PAN Seguros</t>
  </si>
  <si>
    <t>Resultado MEP - 2015</t>
  </si>
  <si>
    <t>Dividendos complementares - 2014</t>
  </si>
  <si>
    <t>Dividendos propostos - 2015</t>
  </si>
  <si>
    <t>Ajuste patrimonial - 2015</t>
  </si>
  <si>
    <t>Total do Acervo Cindido</t>
  </si>
  <si>
    <t>Acervo Cindido - Ativo Permanente</t>
  </si>
  <si>
    <t>Juros sobre Capital Próprio - 2015</t>
  </si>
  <si>
    <t>Patrimônio Líquido</t>
  </si>
  <si>
    <t xml:space="preserve">    Parcela cindida</t>
  </si>
  <si>
    <t>Resultado do Exercício</t>
  </si>
  <si>
    <t>Resultado do Exercício Ajustado</t>
  </si>
  <si>
    <t>Valor Contábil - Acervo Cindido</t>
  </si>
  <si>
    <t>Saldos dos investimentos cindidos em 30/06/2015</t>
  </si>
  <si>
    <t>Tributos Diferidos</t>
  </si>
  <si>
    <t>Ativo</t>
  </si>
  <si>
    <t>2013</t>
  </si>
  <si>
    <t>C E F   -   C A I X A    E C O N O M I C A    F E D E R A L                       PAG.     1</t>
  </si>
  <si>
    <t>O                               REF:    12.2016</t>
  </si>
  <si>
    <t>DIVID E BONIFICACOES EM DINHEIRO A RECEBER /SUBS</t>
  </si>
  <si>
    <t>IMP E CONTR A COMP EXERC ANT/SUBS</t>
  </si>
  <si>
    <t>PART MEP - BANCO PAN/SUBS</t>
  </si>
  <si>
    <t>GANHO VALORIZ PART DETIDA ANTER TECBAN/CAIXAPAR</t>
  </si>
  <si>
    <t>2.1.2.99</t>
  </si>
  <si>
    <t>PROVISAO PARA PERDAS EM COLIGADAS E CONTROLADAS</t>
  </si>
  <si>
    <t>2.1.2.99.22</t>
  </si>
  <si>
    <t>PDAS POR IMPAIRMENT-AGIO BAS EXPECT RENT FUT /-/</t>
  </si>
  <si>
    <t>2.1.2.99.22.03</t>
  </si>
  <si>
    <t>PDAS POR IMPAIRMENT /-/  GOODWILL - CAPGEMINI</t>
  </si>
  <si>
    <t>DESPESA DE EQUIV PATR/-/AMORT INTANGIVEL</t>
  </si>
  <si>
    <t>DESPESA DE EQUIV PATR - AJUSTE IFRS</t>
  </si>
  <si>
    <t>8.1.6.20.10.31</t>
  </si>
  <si>
    <t>DESPESA DE EQUIV PATR - BANCO PAN</t>
  </si>
  <si>
    <t>8.1.6.20.10.32</t>
  </si>
  <si>
    <t>DESPESA DE EQUIV PATR - CAPGEMINI</t>
  </si>
  <si>
    <t>8.1.6.20.10.33</t>
  </si>
  <si>
    <t>DESPESA DE EQUIV PATR - CIBRASEC</t>
  </si>
  <si>
    <t>8.1.6.20.10.34</t>
  </si>
  <si>
    <t>DESPESA DE EQUIV PATR - ELO SERVICOS</t>
  </si>
  <si>
    <t>8.1.6.20.10.36</t>
  </si>
  <si>
    <t>DESPESA DE EQUIV PATR - CRESCER</t>
  </si>
  <si>
    <t>8.1.6.20.10.37</t>
  </si>
  <si>
    <t>DESPESA DE EQUIV PATR - FIP AMSTERDAM</t>
  </si>
  <si>
    <t>8.1.6.20.10.38</t>
  </si>
  <si>
    <t>DESPESA DE EQUIV PATR - FIP VENEZA</t>
  </si>
  <si>
    <t>8.1.6.20.10.39</t>
  </si>
  <si>
    <t>DESPESA DE EQUIV PATR - TECBAN</t>
  </si>
  <si>
    <t>DESPESAS DE PESSOAL - BENEFICIOS/SUBS</t>
  </si>
  <si>
    <t>8.1.7.27.12.07</t>
  </si>
  <si>
    <t>DESP DE PESSOAL - SUPLEM BENEF INSS</t>
  </si>
  <si>
    <t>DESP DE PESSOAL - PLR/SUBS</t>
  </si>
  <si>
    <t>DESP DE PESSOAL - OUTROS PROVENTOS</t>
  </si>
  <si>
    <t>DESP DE PESSOAL - TREINAMENTO</t>
  </si>
  <si>
    <t>DESP DE PESSOAL - OUTRAS DESP TREINAMENTO</t>
  </si>
  <si>
    <t>8.1.7.48</t>
  </si>
  <si>
    <t>DESPESAS DE PUBLICACOES</t>
  </si>
  <si>
    <t>8.1.7.48.11</t>
  </si>
  <si>
    <t>DESPESAS DE PUBLICACOES/SUBS</t>
  </si>
  <si>
    <t>8.1.7.48.11.01</t>
  </si>
  <si>
    <t>DESP COM SERVICOS TECNICOS ESPECIALIZADOS - SUBS</t>
  </si>
  <si>
    <t>DESPESAS COM SERVICOS DE CONSULTORIA - SUBS</t>
  </si>
  <si>
    <t>DESPESAS DE VIAGENS NO PAIS</t>
  </si>
  <si>
    <t>OUTRAS DESPESAS GERAIS E ADM/SUBS</t>
  </si>
  <si>
    <t>8.1.8.30</t>
  </si>
  <si>
    <t>DESPESAS DE PROVISOES OPERACIONAIS</t>
  </si>
  <si>
    <t>8.1.8.30.95</t>
  </si>
  <si>
    <t>PDAS P/RED VLR REC AGIO BASEADO EXPECT RENT FUTU</t>
  </si>
  <si>
    <t>8.1.8.30.95.10</t>
  </si>
  <si>
    <t>PDAS P/RED VLR REC AGIO - EXPECT RENT FUT</t>
  </si>
  <si>
    <t>DESP OPER - JUROS/ATUAL MONET OBRIGACOES</t>
  </si>
  <si>
    <t>DESP OPER - ATUAL MONET DIVIDENDOS</t>
  </si>
  <si>
    <t>DESP OPER - MULTAS TRIBUTARIAS</t>
  </si>
  <si>
    <t>8.9.7</t>
  </si>
  <si>
    <t>PARTICIPACOES NO LUCRO</t>
  </si>
  <si>
    <t>8.9.7.10</t>
  </si>
  <si>
    <t>8.9.7.10.10</t>
  </si>
  <si>
    <t>8.9.7.10.10.11</t>
  </si>
  <si>
    <t>PARTICIPACOES NO LUCRO - DIRIGENTES SUBS</t>
  </si>
  <si>
    <t>IMP E CONTRIB S/ LUCROS A PAGAR - SUBS</t>
  </si>
  <si>
    <t>IMPOSTOS E CONTRIB SOBRE SALARIOS A RECOL - SUBS</t>
  </si>
  <si>
    <t>IR RETIDO A RECOLHER</t>
  </si>
  <si>
    <t>CSLL RETIDA A RECOLHER</t>
  </si>
  <si>
    <t>COFINS RETIDA A RECOLHER</t>
  </si>
  <si>
    <t>PIS/PASEP RETIDO A RECOLHER</t>
  </si>
  <si>
    <t>DESPESAS DE PESSOAL - SUBS</t>
  </si>
  <si>
    <t>4.9.9.85.11</t>
  </si>
  <si>
    <t>VALORES A PAGAR A SOCIEDADES LIGADAS/SUBS</t>
  </si>
  <si>
    <t>4.9.9.85.11.01</t>
  </si>
  <si>
    <t>VALORES A PAGAR A SOC LIG - CRESCER</t>
  </si>
  <si>
    <t>4.9.9.85.11.02</t>
  </si>
  <si>
    <t>VALORES A PAGAR A SOC LIG - FIP AMSTERDAM</t>
  </si>
  <si>
    <t>CONVENIO DE COMPARTILHAMENTO - CAIXA/SUBS</t>
  </si>
  <si>
    <t>4.9.9.92.51.04</t>
  </si>
  <si>
    <t>CONTAS A PAGAR DE OBRIGACOES DIVERSAS/SUBS</t>
  </si>
  <si>
    <t>CONVENIO DE ATIVIDADES OPERACIONAIS - CAIXA/SUBS</t>
  </si>
  <si>
    <t>OUTROS AJUSTES - VARIACAO PARTIC RELATIVA/SUBS</t>
  </si>
  <si>
    <t>6.1.6.90.30.03</t>
  </si>
  <si>
    <t>OUTROS AJUSTES - AJUSTE IFRS - REFLEXO</t>
  </si>
  <si>
    <t>RDAS APLIC FDO INVEST REF/SUBS</t>
  </si>
  <si>
    <t>RECEITA DE EQUIV PATR - AJUSTE IFRS</t>
  </si>
  <si>
    <t>7.1.8.20.10.31</t>
  </si>
  <si>
    <t>RECEITA DE EQUIV PATR - BANCO PAN</t>
  </si>
  <si>
    <t>7.1.8.20.10.32</t>
  </si>
  <si>
    <t>RECEITA DE EQUIV PATR - CAPGEMINI</t>
  </si>
  <si>
    <t>7.1.8.20.10.33</t>
  </si>
  <si>
    <t>RECEITA DE EQUIV PATR - CIBRASEC</t>
  </si>
  <si>
    <t>7.1.8.20.10.34</t>
  </si>
  <si>
    <t>RECEITA DE EQUIV PATR - ELO SERVICOS</t>
  </si>
  <si>
    <t>7.1.8.20.10.35</t>
  </si>
  <si>
    <t>RECEITA DE EQUIV PATR - BRANES</t>
  </si>
  <si>
    <t>7.1.8.20.10.36</t>
  </si>
  <si>
    <t>RECEITA DE EQUIV PATR - CRESCER</t>
  </si>
  <si>
    <t>7.1.8.20.10.39</t>
  </si>
  <si>
    <t>RECEITA DE EQUIV PATR - TECBAN</t>
  </si>
  <si>
    <t>RECEITA DE DIVIDENDOS E JCP / SUBS</t>
  </si>
  <si>
    <t>RDAS OPER - JCP/SUBS</t>
  </si>
  <si>
    <t>OUTRAS RDAS OP - ATUALIZACAO MONETARIA</t>
  </si>
  <si>
    <t>OUTRAS RDAS OP - JUROS S/ MUTUO - LIG</t>
  </si>
  <si>
    <t>4.99.85.11</t>
  </si>
  <si>
    <t>Saldo 2015</t>
  </si>
  <si>
    <t>Saldo 2016</t>
  </si>
  <si>
    <t>Despesas Gerais e Administrativas</t>
  </si>
  <si>
    <t>Despesas Financeiras</t>
  </si>
  <si>
    <t>Investimentos</t>
  </si>
  <si>
    <t>Ajustes de Avaliação Patrimonial</t>
  </si>
  <si>
    <t>Resultado de Equivalência Patrimonial</t>
  </si>
  <si>
    <t>&amp;l1O_x001B_(s13H_x001B_(19U_x001B_&amp;l5.3C_x001B_&amp;l66F_x001B_&amp;a3L_x001B_&amp;k0G23/02/2017   PZ.ARQ: 30A</t>
  </si>
  <si>
    <t xml:space="preserve">    Reserva de Margem Operacional</t>
  </si>
  <si>
    <t>8.1.8.30.11.01</t>
  </si>
  <si>
    <t>Despesa de Pessoal</t>
  </si>
  <si>
    <t>Despesas de Tributos</t>
  </si>
  <si>
    <t>Balanço Patrimonial</t>
  </si>
  <si>
    <t>Ativo Circulante</t>
  </si>
  <si>
    <t>Caixa e Equivalentes de Caixa</t>
  </si>
  <si>
    <t>Outros Créditos</t>
  </si>
  <si>
    <t>Ativo Não Circulante</t>
  </si>
  <si>
    <t>Realizável a Longo Prazo</t>
  </si>
  <si>
    <t>Passivo e Patrimônio Líquido</t>
  </si>
  <si>
    <t>Passivo Circulante</t>
  </si>
  <si>
    <t>Obrigações Fiscais e Previdenciárias</t>
  </si>
  <si>
    <t>Obrigações com Partes Relacionadas</t>
  </si>
  <si>
    <t>Provisões</t>
  </si>
  <si>
    <t>Passivo Não Circulante</t>
  </si>
  <si>
    <t>Receitas e Despesas Operacionais</t>
  </si>
  <si>
    <t>Outras Receitas e Despesas Operacionais</t>
  </si>
  <si>
    <t>Resultado Antes das Receitas e Despesas Financeiras</t>
  </si>
  <si>
    <t>Resultado Antes da Tributação sobre o Lucro</t>
  </si>
  <si>
    <t>Imposto de Renda e Contribuição Social</t>
  </si>
  <si>
    <t>Imposto sobre a Renda</t>
  </si>
  <si>
    <t>Contribuição Social sobre o Lucro Líquido</t>
  </si>
  <si>
    <t>Participações sobre o Resultado - Dirigentes</t>
  </si>
  <si>
    <t>Resultado Líquido do Exercício</t>
  </si>
  <si>
    <t>Quantidade de Ações</t>
  </si>
  <si>
    <t>Ganhos e Perdas Não Realizados - Próprios</t>
  </si>
  <si>
    <t>Efeitos Tributários</t>
  </si>
  <si>
    <t>Ganhos e Perdas Não Realizados - Investidas</t>
  </si>
  <si>
    <t>Ganhos e Perdas por Variação na Participação Relativa em Investidas</t>
  </si>
  <si>
    <t>1</t>
  </si>
  <si>
    <t>2</t>
  </si>
  <si>
    <t>NAO CIRCULANTE</t>
  </si>
  <si>
    <t>2.1.2.10.21.40</t>
  </si>
  <si>
    <t>PART MEP - GIC/CAIXAPAR</t>
  </si>
  <si>
    <t>3</t>
  </si>
  <si>
    <t>4</t>
  </si>
  <si>
    <t>PIS A PAGAR</t>
  </si>
  <si>
    <t>4.9.9.85.11.03</t>
  </si>
  <si>
    <t>VALORES A PAGAR A SOC LIG - CAPGEMINI</t>
  </si>
  <si>
    <t>6</t>
  </si>
  <si>
    <t>7</t>
  </si>
  <si>
    <t>RDAS DE APLIC EM OPS COMPROMISSADAS/PB/SUBS</t>
  </si>
  <si>
    <t>7.1.8.20.10.37</t>
  </si>
  <si>
    <t>RECEITA DE EQUIV PATR - FIP AMSTERDAM</t>
  </si>
  <si>
    <t>7.1.8.20.10.38</t>
  </si>
  <si>
    <t>RECEITA DE EQUIV PATR - FIP VENEZA</t>
  </si>
  <si>
    <t>7.1.8.20.10.40</t>
  </si>
  <si>
    <t>RECEITA DE EQUIV PATR - GIC</t>
  </si>
  <si>
    <t>7.1.9.30</t>
  </si>
  <si>
    <t>RECUPERACAO DE ENCARGOS E DESPESAS</t>
  </si>
  <si>
    <t>7.1.9.30.10</t>
  </si>
  <si>
    <t>7.1.9.30.10.93</t>
  </si>
  <si>
    <t>RECUP DE DESP DE RVD</t>
  </si>
  <si>
    <t>OUTRAS RDAS OPS - S/CREDITOS TRIBUTARIOS</t>
  </si>
  <si>
    <t>7.1.9.99.14.21</t>
  </si>
  <si>
    <t>RECEITA ATUAL MONET S/ CSLL COMPENSAR</t>
  </si>
  <si>
    <t>7.1.9.99.90.68</t>
  </si>
  <si>
    <t>OUTRAS RDS OP - GANHO DE CAPITAL EM INVEST</t>
  </si>
  <si>
    <t>8</t>
  </si>
  <si>
    <t>8.1.6.20.10.35</t>
  </si>
  <si>
    <t>DESPESA DE EQUIV PATR - BRANES</t>
  </si>
  <si>
    <t>8.1.6.20.10.40</t>
  </si>
  <si>
    <t>DESPESA DE EQUIV PATR - GIC</t>
  </si>
  <si>
    <t>8.1.6.20.10.41</t>
  </si>
  <si>
    <t>DESPESA DE EQUIV PATR - HABITAR</t>
  </si>
  <si>
    <t>DESPESAS PREV COMPLEMENTAR - DIRETORIA/SUBS</t>
  </si>
  <si>
    <t>DESP C/   INSS - 13 SALARIO - DIRETORIA</t>
  </si>
  <si>
    <t>8.1.7.18.21.17</t>
  </si>
  <si>
    <t>DESP C/ PROG ASSIST A INFANCIA - DIRETORIA</t>
  </si>
  <si>
    <t>DESP DE PESSOAL - VALE TRANSPORTE</t>
  </si>
  <si>
    <t>8.1.7.27.12.06</t>
  </si>
  <si>
    <t>DESP DE PESSOAL - AJUDA DE CUSTO</t>
  </si>
  <si>
    <t>DESPESAS DE VIAGENS</t>
  </si>
  <si>
    <t>PDAS P/RED VLR REC AGIO-EXPECT RENT FUT CAPGEMIN</t>
  </si>
  <si>
    <t>9</t>
  </si>
  <si>
    <t>Fluxo de Caixa das Atividades Operacionais</t>
  </si>
  <si>
    <t>Despesas de Convênio com a Controladora</t>
  </si>
  <si>
    <t>Despesa de Serviços Técnicos Especializados</t>
  </si>
  <si>
    <t>Variação de Ativos e Passivos</t>
  </si>
  <si>
    <t>(Aumento)/Redução de Dividendos e JCP a Receber</t>
  </si>
  <si>
    <t>(Aumento)/Redução de Créditos Tributários e Tributos a Compensar</t>
  </si>
  <si>
    <t>(Aumento)/Redução de Outros Créditos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</si>
  <si>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</si>
  <si>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</si>
  <si>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</si>
  <si>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Outras Obrigações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</si>
  <si>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</si>
  <si>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</si>
  <si>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</si>
  <si>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</si>
  <si>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</si>
  <si>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</si>
  <si>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Caixa Líquido Gerado / (Consumido) pelas Atividades de Investimento</t>
  </si>
  <si>
    <t>Fluxo de Caixa das Atividades de Financiamento</t>
  </si>
  <si>
    <t>Pagamento de Dividendos</t>
  </si>
  <si>
    <t>Caixa Líquido Gerado / (Consumido) pelas Atividades de Financiamento</t>
  </si>
  <si>
    <t>Aumento / (Redução) Líquido(a) de Caixa e Equivalentes de Caixa</t>
  </si>
  <si>
    <t>Caixa e Equivalentes de Caixa no Início do Período</t>
  </si>
  <si>
    <t>Caixa e Equivalentes de Caixa no Fim do Período</t>
  </si>
  <si>
    <t>Prazo (meses)</t>
  </si>
  <si>
    <t>Resultado Antes das Participações</t>
  </si>
  <si>
    <t>Instrumentos Financeiros - Próprios</t>
  </si>
  <si>
    <t>Demonstração dos Fluxos de Caixa</t>
  </si>
  <si>
    <t>jun-18</t>
  </si>
  <si>
    <t>dez-17</t>
  </si>
  <si>
    <t>Demonstração do Valor Adicionado</t>
  </si>
  <si>
    <t>(Nota 9)</t>
  </si>
  <si>
    <t>(Nota 11)</t>
  </si>
  <si>
    <t>(Nota 5)</t>
  </si>
  <si>
    <t>Ganhos e Perdas em Outros Resultados Abrangentes de Investidas</t>
  </si>
  <si>
    <t>Passivo Fiscal Diferido</t>
  </si>
  <si>
    <t>(Aumento)/Redução de Instrumentos Financeiros</t>
  </si>
  <si>
    <t>Instrumentos Financeiros</t>
  </si>
  <si>
    <t>Dividendos e Juros sobre o Capital Próprio a Receber</t>
  </si>
  <si>
    <t>Instrumentos Financeiros - Custo Amortizado</t>
  </si>
  <si>
    <t>Lucros ou Prejuízos Acumulados</t>
  </si>
  <si>
    <t>Conciliação Contábil</t>
  </si>
  <si>
    <t>Reserva Legal</t>
  </si>
  <si>
    <t>Reserva Estatutária</t>
  </si>
  <si>
    <t>Retenção de Lucros - Orçamento de Capital</t>
  </si>
  <si>
    <t>Em</t>
  </si>
  <si>
    <t>Ajuste ao Valor de Mercado de Instrumentos Financeiros - VJORA - De Investidas</t>
  </si>
  <si>
    <t>Outros Ajustes de Avaliação Patrimonial - Reflexos</t>
  </si>
  <si>
    <t>Ajustes de Exercícios Anteriores</t>
  </si>
  <si>
    <t>Receitas Financeiras</t>
  </si>
  <si>
    <t>1.</t>
  </si>
  <si>
    <t>2.</t>
  </si>
  <si>
    <t>Insumos Adquiridos de Terceiros</t>
  </si>
  <si>
    <t>Amortização de Ativos Intangíveis</t>
  </si>
  <si>
    <t>Provisão para Redução ao Valor Recuperável de Ativos</t>
  </si>
  <si>
    <t>Convênio com a Controladora</t>
  </si>
  <si>
    <t>Serviços Técnicos Especializados</t>
  </si>
  <si>
    <t>3.</t>
  </si>
  <si>
    <t>Valor Adicionado Bruto (1 - 2)</t>
  </si>
  <si>
    <t>4.</t>
  </si>
  <si>
    <t>Valor Adicionado Recebido em Transferência</t>
  </si>
  <si>
    <t>Receita de Juros sobre o Capital Próprio</t>
  </si>
  <si>
    <t>5.</t>
  </si>
  <si>
    <t>6.</t>
  </si>
  <si>
    <t>Distribuição do Valor Adicionado</t>
  </si>
  <si>
    <t>Pessoal</t>
  </si>
  <si>
    <t>Remuneração Direta</t>
  </si>
  <si>
    <t>Benefícios e Encargos Sociais</t>
  </si>
  <si>
    <t>FGTS</t>
  </si>
  <si>
    <t>Impostos, Taxas e Contribuições</t>
  </si>
  <si>
    <t>INSS</t>
  </si>
  <si>
    <t>Outros Impostos, Taxas e Contribuições</t>
  </si>
  <si>
    <t>Remuneração de Capital de Terceiros</t>
  </si>
  <si>
    <t>Lucros Retidos</t>
  </si>
  <si>
    <t>Receitas</t>
  </si>
  <si>
    <t>Impairment</t>
  </si>
  <si>
    <t>Intangíveis</t>
  </si>
  <si>
    <t>Demonstração do Resultado Abrangente</t>
  </si>
  <si>
    <t>Ganhos e Perdas em Aquisições e Alienações de Investimentos</t>
  </si>
  <si>
    <t>Obrigações de Instrumentos Financeiros</t>
  </si>
  <si>
    <t>Outras Obrigações</t>
  </si>
  <si>
    <t>Aumento/(Redução) de Obrigações de Instrumentos Financeiros</t>
  </si>
  <si>
    <t>Despesas de Provisão</t>
  </si>
  <si>
    <t>Resultado de Transações Patrimoniais entre Sócios</t>
  </si>
  <si>
    <t>Lucros Acumulados</t>
  </si>
  <si>
    <t>1T19</t>
  </si>
  <si>
    <t>1T18</t>
  </si>
  <si>
    <t>Dividendos Adicionais Propostos</t>
  </si>
  <si>
    <t>2T19</t>
  </si>
  <si>
    <t>2T18</t>
  </si>
  <si>
    <t>1S19</t>
  </si>
  <si>
    <t>1S18</t>
  </si>
  <si>
    <t>Resultado Líquido do Período</t>
  </si>
  <si>
    <t>Lucro Líquido por Ação (em R$)</t>
  </si>
  <si>
    <t>Recuperação de Despesas por Convênio</t>
  </si>
  <si>
    <t>Convênio com Entidade sob Controle Comum</t>
  </si>
  <si>
    <t>Check</t>
  </si>
  <si>
    <t>Capgemini - Intangível</t>
  </si>
  <si>
    <t>Capgemini - Intangível Amortização (-)</t>
  </si>
  <si>
    <t>Capgemini - Intangível - Impairment (-)</t>
  </si>
  <si>
    <t>Capgemini - Goodwill</t>
  </si>
  <si>
    <t>Capgemini - Goodwill - Impairment (-)</t>
  </si>
  <si>
    <t>(Nota 3)</t>
  </si>
  <si>
    <t>(Nota 4.c)</t>
  </si>
  <si>
    <t>(Nota 4.d)</t>
  </si>
  <si>
    <t>(Nota 8)</t>
  </si>
  <si>
    <t>(Nota 12)</t>
  </si>
  <si>
    <t>(Nota 4.b)</t>
  </si>
  <si>
    <t>3T19</t>
  </si>
  <si>
    <t>3T18</t>
  </si>
  <si>
    <t>9M19</t>
  </si>
  <si>
    <t>9M18</t>
  </si>
  <si>
    <t>Demonstração das Mutações do Patrimônio Líquido</t>
  </si>
  <si>
    <t>Integralização de Capital</t>
  </si>
  <si>
    <t>Aumento/(Redução) de Obrigações com Coligadas e Controladas em Conjunto</t>
  </si>
  <si>
    <t>Aumento/(Redução) de Obrigações com Entidades sob Controle Comum</t>
  </si>
  <si>
    <t>Aumento/(Redução) de Provisões</t>
  </si>
  <si>
    <t>Alienação de Participação Societária / Redução de Capital</t>
  </si>
  <si>
    <t>Atualização Monetária em Alienação de Participação Societária</t>
  </si>
  <si>
    <t>4T18</t>
  </si>
  <si>
    <t>Amort./Baixa</t>
  </si>
  <si>
    <t>Ativo = Passivo + PL</t>
  </si>
  <si>
    <t>Subtotal ( 5 + 6)</t>
  </si>
  <si>
    <t>Dividendo Obrigatório</t>
  </si>
  <si>
    <t>(Notas 4.a; 4.d)</t>
  </si>
  <si>
    <t>Remuneração de Capital Próprio</t>
  </si>
  <si>
    <t>Valor Adicionado Líquido Produzido pela Entidade</t>
  </si>
  <si>
    <t>7.</t>
  </si>
  <si>
    <t>Valor Adicionado Total a Distribuir (5 + 6)</t>
  </si>
  <si>
    <t>8.</t>
  </si>
  <si>
    <t>(Nota 10)</t>
  </si>
  <si>
    <r>
      <t>Ágio (</t>
    </r>
    <r>
      <rPr>
        <i/>
        <sz val="11"/>
        <color rgb="FF005CA9"/>
        <rFont val="Futura Lt BT"/>
        <family val="2"/>
      </rPr>
      <t>Goodwill</t>
    </r>
    <r>
      <rPr>
        <sz val="11"/>
        <color rgb="FF005CA9"/>
        <rFont val="Futura Lt BT"/>
        <family val="2"/>
      </rPr>
      <t>)</t>
    </r>
  </si>
  <si>
    <t>(Nota 13)</t>
  </si>
  <si>
    <t>(Nota 9.c)</t>
  </si>
  <si>
    <t>(Nota 7)</t>
  </si>
  <si>
    <t>Instrumentos Financeiros - VJORA - De Investidas</t>
  </si>
  <si>
    <t>Ativo Fiscal Diferido</t>
  </si>
  <si>
    <r>
      <t xml:space="preserve">Redução ao Valor Recuperável do </t>
    </r>
    <r>
      <rPr>
        <i/>
        <sz val="9"/>
        <color rgb="FF005CA9"/>
        <rFont val="Futura Lt BT"/>
        <family val="2"/>
      </rPr>
      <t>Goodwill</t>
    </r>
    <r>
      <rPr>
        <sz val="9"/>
        <color rgb="FF005CA9"/>
        <rFont val="Futura Lt BT"/>
        <family val="2"/>
      </rPr>
      <t xml:space="preserve"> (-)</t>
    </r>
  </si>
  <si>
    <t>Redução ao Valor Recuperável dos Intangíveis (-)</t>
  </si>
  <si>
    <t>Provisão para Redução ao Valor Recuperável</t>
  </si>
  <si>
    <t>2.1.2.99.23.01</t>
  </si>
  <si>
    <t>4T19</t>
  </si>
  <si>
    <t>(Nota 9.b)</t>
  </si>
  <si>
    <t>1T20</t>
  </si>
  <si>
    <t>Reversão de Provisão</t>
  </si>
  <si>
    <r>
      <t>Impairment</t>
    </r>
    <r>
      <rPr>
        <b/>
        <sz val="11"/>
        <color rgb="FF005CA9"/>
        <rFont val="Futura Lt BT"/>
        <family val="2"/>
      </rPr>
      <t xml:space="preserve"> /
Reversão</t>
    </r>
  </si>
  <si>
    <t>Resultado Abrangente do Período</t>
  </si>
  <si>
    <t xml:space="preserve">Demonstração do Resultado </t>
  </si>
  <si>
    <t>Ajustes ao Resultado do Período</t>
  </si>
  <si>
    <t>Resultado de Participações Societárias</t>
  </si>
  <si>
    <t>Imobilizado</t>
  </si>
  <si>
    <t>Obrigações por Empréstimos e Repasses</t>
  </si>
  <si>
    <t>2T20</t>
  </si>
  <si>
    <t>Incorporação ao Capital</t>
  </si>
  <si>
    <t>Redução de Capital</t>
  </si>
  <si>
    <t>(Nota 10.c)</t>
  </si>
  <si>
    <t>Distribuição de Reservas</t>
  </si>
  <si>
    <t>1S20</t>
  </si>
  <si>
    <t>(Aumento)/Redução de Imobilizado</t>
  </si>
  <si>
    <r>
      <t>(Impairment)</t>
    </r>
    <r>
      <rPr>
        <b/>
        <sz val="11"/>
        <color rgb="FF005CA9"/>
        <rFont val="Futura Lt BT"/>
        <family val="2"/>
      </rPr>
      <t xml:space="preserve"> /
Reversão</t>
    </r>
  </si>
  <si>
    <t>Instrumentos Financeiros - De Investidas</t>
  </si>
  <si>
    <t>Ganhos e Perdas por Variação na Participação Relativa</t>
  </si>
  <si>
    <t>30 de junho de 2020</t>
  </si>
  <si>
    <t>31 de dezembro de 2019</t>
  </si>
  <si>
    <t>30 de junho de 2019</t>
  </si>
  <si>
    <t>31 de dezembro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</si>
</sst>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&quot;\ * #,##0.00_);_(&quot;R$&quot;\ * \(#,##0.00\);_(&quot;R$&quot;\ * &quot;-&quot;??_);_(@_)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  <numFmt numFmtId="170" formatCode="_(* #,##0,_);_(* \(#,##0,\);_(* &quot;-&quot;_);_(@_)"/>
    <numFmt numFmtId="171" formatCode="&quot;31 de &quot;mmmm&quot; de &quot;yyyy"/>
    <numFmt numFmtId="172" formatCode="&quot;30 de &quot;mmmm&quot; de &quot;yyyy"/>
    <numFmt numFmtId="173" formatCode="_(* #,##0.000,_);_(* \(#,##0.000,\);_(* &quot;-&quot;_);_(@_)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name val="Courier New"/>
      <family val="3"/>
    </font>
    <font>
      <sz val="10"/>
      <name val="Tahoma"/>
      <family val="2"/>
    </font>
    <font>
      <sz val="11"/>
      <name val="Arial"/>
      <family val="2"/>
    </font>
    <font>
      <b/>
      <sz val="11"/>
      <color indexed="31"/>
      <name val="Arial"/>
      <family val="2"/>
    </font>
    <font>
      <sz val="11"/>
      <color indexed="62"/>
      <name val="Arial"/>
      <family val="2"/>
    </font>
    <font>
      <i/>
      <sz val="8"/>
      <color indexed="62"/>
      <name val="Arial"/>
      <family val="2"/>
    </font>
    <font>
      <b/>
      <sz val="10"/>
      <color theme="3" tint="-0.499984740745262"/>
      <name val="Arial"/>
      <family val="2"/>
    </font>
    <font>
      <sz val="10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8"/>
      <name val="Courier New"/>
      <family val="3"/>
    </font>
    <font>
      <sz val="9"/>
      <name val="Consolas"/>
      <family val="3"/>
    </font>
    <font>
      <b/>
      <sz val="9"/>
      <color theme="0"/>
      <name val="Arial"/>
      <family val="2"/>
    </font>
    <font>
      <b/>
      <sz val="8"/>
      <color theme="1"/>
      <name val="Courier New"/>
      <family val="3"/>
    </font>
    <font>
      <sz val="9"/>
      <name val="Arial"/>
      <family val="2"/>
    </font>
    <font>
      <sz val="8"/>
      <color theme="1"/>
      <name val="Courier New"/>
      <family val="3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3" tint="-0.499984740745262"/>
      <name val="Arial"/>
      <family val="2"/>
    </font>
    <font>
      <b/>
      <sz val="10"/>
      <color theme="4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9"/>
      <name val="Arial"/>
      <family val="2"/>
    </font>
    <font>
      <sz val="11"/>
      <name val="Times New Roman"/>
      <family val="1"/>
    </font>
    <font>
      <sz val="13"/>
      <color theme="1"/>
      <name val="Calibri"/>
      <family val="2"/>
      <scheme val="minor"/>
    </font>
    <font>
      <sz val="10"/>
      <color theme="4" tint="0.39997558519241921"/>
      <name val="Arial"/>
      <family val="2"/>
    </font>
    <font>
      <sz val="10"/>
      <color indexed="8"/>
      <name val="Courier New"/>
      <family val="3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10"/>
      <color indexed="8"/>
      <name val="Times New Roman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theme="1"/>
      <name val="Times New Roman"/>
      <family val="2"/>
    </font>
    <font>
      <b/>
      <sz val="9"/>
      <color rgb="FF005CA9"/>
      <name val="Futura Lt BT"/>
      <family val="2"/>
    </font>
    <font>
      <sz val="9"/>
      <name val="Futura Lt BT"/>
      <family val="2"/>
    </font>
    <font>
      <sz val="9"/>
      <color theme="4" tint="-0.499984740745262"/>
      <name val="Futura Lt BT"/>
      <family val="2"/>
    </font>
    <font>
      <b/>
      <shadow/>
      <sz val="9"/>
      <color theme="0"/>
      <name val="Futura Lt BT"/>
      <family val="2"/>
    </font>
    <font>
      <sz val="9"/>
      <color rgb="FF003366"/>
      <name val="Futura Lt BT"/>
      <family val="2"/>
    </font>
    <font>
      <i/>
      <sz val="9"/>
      <color rgb="FFC00000"/>
      <name val="Futura Lt BT"/>
      <family val="2"/>
    </font>
    <font>
      <sz val="9"/>
      <color rgb="FF005CA9"/>
      <name val="Futura Lt BT"/>
      <family val="2"/>
    </font>
    <font>
      <b/>
      <shadow/>
      <sz val="9"/>
      <color rgb="FF005CA9"/>
      <name val="Futura Lt BT"/>
      <family val="2"/>
    </font>
    <font>
      <i/>
      <sz val="9"/>
      <color rgb="FF005CA9"/>
      <name val="Futura Lt BT"/>
      <family val="2"/>
    </font>
    <font>
      <sz val="9"/>
      <color theme="0"/>
      <name val="Futura Lt BT"/>
      <family val="2"/>
    </font>
    <font>
      <b/>
      <i/>
      <sz val="9"/>
      <color rgb="FF005CA9"/>
      <name val="Futura Lt BT"/>
      <family val="2"/>
    </font>
    <font>
      <i/>
      <sz val="9"/>
      <color indexed="62"/>
      <name val="Futura Lt BT"/>
      <family val="2"/>
    </font>
    <font>
      <b/>
      <shadow/>
      <sz val="9"/>
      <color theme="0"/>
      <name val="Futura Lt BT"/>
      <family val="2"/>
    </font>
    <font>
      <b/>
      <sz val="9"/>
      <color theme="0"/>
      <name val="Futura Lt BT"/>
      <family val="2"/>
    </font>
    <font>
      <sz val="9"/>
      <color rgb="FF005CA9"/>
      <name val="Futura Lt BT"/>
      <family val="2"/>
    </font>
    <font>
      <b/>
      <sz val="9"/>
      <color rgb="FF005CA9"/>
      <name val="Futura Lt BT"/>
      <family val="2"/>
    </font>
    <font>
      <i/>
      <sz val="9"/>
      <color rgb="FFC00000"/>
      <name val="Futura Lt BT"/>
      <family val="2"/>
    </font>
    <font>
      <sz val="10"/>
      <name val="Arial"/>
      <family val="2"/>
    </font>
    <font>
      <b/>
      <sz val="11"/>
      <color rgb="FF005CA9"/>
      <name val="Futura Lt BT"/>
      <family val="2"/>
    </font>
    <font>
      <sz val="11"/>
      <color rgb="FF005CA9"/>
      <name val="Futura Lt BT"/>
      <family val="2"/>
    </font>
    <font>
      <b/>
      <i/>
      <sz val="11"/>
      <color rgb="FF005CA9"/>
      <name val="Futura Lt BT"/>
      <family val="2"/>
    </font>
    <font>
      <i/>
      <sz val="11"/>
      <color rgb="FF005CA9"/>
      <name val="Futura Lt BT"/>
      <family val="2"/>
    </font>
    <font>
      <b/>
      <sz val="11"/>
      <color rgb="FF005CA9"/>
      <name val="Futura Lt BT"/>
    </font>
    <font>
      <sz val="10"/>
      <color theme="1"/>
      <name val="Arial"/>
      <family val="2"/>
    </font>
    <font>
      <sz val="10"/>
      <color indexed="44"/>
      <name val="Arial"/>
      <family val="2"/>
    </font>
    <font>
      <sz val="10"/>
      <color rgb="FF1F4E78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4BB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rgb="FFF39200"/>
      </top>
      <bottom style="thin">
        <color rgb="FFF39200"/>
      </bottom>
      <diagonal/>
    </border>
    <border>
      <left style="thin">
        <color theme="0"/>
      </left>
      <right/>
      <top style="thin">
        <color rgb="FFF39200"/>
      </top>
      <bottom/>
      <diagonal/>
    </border>
    <border>
      <left/>
      <right style="thin">
        <color theme="0"/>
      </right>
      <top style="thin">
        <color rgb="FFF39200"/>
      </top>
      <bottom/>
      <diagonal/>
    </border>
    <border>
      <left style="thin">
        <color theme="0"/>
      </left>
      <right/>
      <top/>
      <bottom style="thin">
        <color rgb="FFF39200"/>
      </bottom>
      <diagonal/>
    </border>
    <border>
      <left/>
      <right style="thin">
        <color theme="0"/>
      </right>
      <top/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/>
      <diagonal/>
    </border>
    <border>
      <left style="thin">
        <color theme="0"/>
      </left>
      <right style="thin">
        <color theme="0"/>
      </right>
      <top/>
      <bottom style="thin">
        <color rgb="FFF39200"/>
      </bottom>
      <diagonal/>
    </border>
    <border>
      <left style="thin">
        <color theme="0"/>
      </left>
      <right/>
      <top style="thin">
        <color rgb="FFF39200"/>
      </top>
      <bottom style="thin">
        <color rgb="FFF39200"/>
      </bottom>
      <diagonal/>
    </border>
    <border>
      <left/>
      <right style="thin">
        <color theme="0"/>
      </right>
      <top style="thin">
        <color rgb="FFF39200"/>
      </top>
      <bottom style="thin">
        <color rgb="FFF39200"/>
      </bottom>
      <diagonal/>
    </border>
    <border>
      <left/>
      <right/>
      <top style="thin">
        <color rgb="FFF39200"/>
      </top>
      <bottom/>
      <diagonal/>
    </border>
    <border>
      <left/>
      <right/>
      <top/>
      <bottom style="thin">
        <color rgb="FFF39200"/>
      </bottom>
      <diagonal/>
    </border>
    <border>
      <left style="thin">
        <color theme="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rgb="FFF39200"/>
      </top>
      <bottom style="thin">
        <color rgb="FFF39200"/>
      </bottom>
      <diagonal/>
    </border>
    <border>
      <left style="thin">
        <color indexed="9"/>
      </left>
      <right/>
      <top style="thin">
        <color rgb="FFF39200"/>
      </top>
      <bottom style="thin">
        <color rgb="FFF39200"/>
      </bottom>
      <diagonal/>
    </border>
    <border>
      <left/>
      <right style="thin">
        <color indexed="9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392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F39200"/>
      </bottom>
      <diagonal/>
    </border>
    <border>
      <left style="thin">
        <color theme="0"/>
      </left>
      <right/>
      <top style="thin">
        <color theme="0"/>
      </top>
      <bottom style="thin">
        <color rgb="FFF39200"/>
      </bottom>
      <diagonal/>
    </border>
    <border>
      <left style="thin">
        <color rgb="FFF39200"/>
      </left>
      <right style="thin">
        <color theme="0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rgb="FFF39200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theme="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39200"/>
      </top>
      <bottom style="thin">
        <color theme="0"/>
      </bottom>
      <diagonal/>
    </border>
    <border>
      <left/>
      <right style="thin">
        <color rgb="FFF39200"/>
      </right>
      <top style="thin">
        <color rgb="FFF39200"/>
      </top>
      <bottom/>
      <diagonal/>
    </border>
    <border>
      <left/>
      <right style="thin">
        <color rgb="FFF39200"/>
      </right>
      <top/>
      <bottom style="thin">
        <color rgb="FFF39200"/>
      </bottom>
      <diagonal/>
    </border>
    <border>
      <left style="thin">
        <color theme="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theme="0"/>
      </right>
      <top/>
      <bottom style="thin">
        <color rgb="FFFFC000"/>
      </bottom>
      <diagonal/>
    </border>
  </borders>
  <cellStyleXfs count="905">
    <xf numFmtId="0" fontId="0" fillId="0" borderId="0"/>
    <xf numFmtId="0" fontId="29" fillId="0" borderId="0" applyNumberFormat="0" applyFont="0" applyBorder="0" applyAlignment="0"/>
    <xf numFmtId="43" fontId="21" fillId="0" borderId="0" applyFont="0" applyFill="0" applyBorder="0" applyAlignment="0" applyProtection="0"/>
    <xf numFmtId="0" fontId="21" fillId="0" borderId="0"/>
    <xf numFmtId="166" fontId="5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21" fillId="0" borderId="0"/>
    <xf numFmtId="166" fontId="16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3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3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3" fillId="30" borderId="0" applyNumberFormat="0" applyBorder="0" applyAlignment="0" applyProtection="0"/>
    <xf numFmtId="0" fontId="62" fillId="25" borderId="0" applyNumberFormat="0" applyBorder="0" applyAlignment="0" applyProtection="0"/>
    <xf numFmtId="0" fontId="62" fillId="31" borderId="0" applyNumberFormat="0" applyBorder="0" applyAlignment="0" applyProtection="0"/>
    <xf numFmtId="0" fontId="63" fillId="26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3" fillId="24" borderId="0" applyNumberFormat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3" fillId="36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4" fillId="38" borderId="39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5" fillId="39" borderId="40" applyNumberFormat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6" fillId="0" borderId="41" applyNumberFormat="0" applyFill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8" fillId="35" borderId="39" applyNumberFormat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21" fillId="0" borderId="0"/>
    <xf numFmtId="0" fontId="14" fillId="0" borderId="0"/>
    <xf numFmtId="0" fontId="14" fillId="0" borderId="0"/>
    <xf numFmtId="0" fontId="83" fillId="0" borderId="0"/>
    <xf numFmtId="0" fontId="29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27" fillId="34" borderId="39" applyNumberFormat="0" applyFon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0" fontId="71" fillId="38" borderId="42" applyNumberFormat="0" applyAlignment="0" applyProtection="0"/>
    <xf numFmtId="4" fontId="27" fillId="50" borderId="39" applyNumberFormat="0" applyProtection="0">
      <alignment vertical="center"/>
    </xf>
    <xf numFmtId="4" fontId="27" fillId="50" borderId="39" applyNumberFormat="0" applyProtection="0">
      <alignment vertical="center"/>
    </xf>
    <xf numFmtId="4" fontId="27" fillId="50" borderId="39" applyNumberFormat="0" applyProtection="0">
      <alignment vertical="center"/>
    </xf>
    <xf numFmtId="4" fontId="27" fillId="50" borderId="39" applyNumberFormat="0" applyProtection="0">
      <alignment vertical="center"/>
    </xf>
    <xf numFmtId="4" fontId="27" fillId="50" borderId="39" applyNumberFormat="0" applyProtection="0">
      <alignment vertical="center"/>
    </xf>
    <xf numFmtId="4" fontId="27" fillId="50" borderId="39" applyNumberFormat="0" applyProtection="0">
      <alignment vertical="center"/>
    </xf>
    <xf numFmtId="4" fontId="72" fillId="52" borderId="39" applyNumberFormat="0" applyProtection="0">
      <alignment vertical="center"/>
    </xf>
    <xf numFmtId="4" fontId="27" fillId="52" borderId="39" applyNumberFormat="0" applyProtection="0">
      <alignment horizontal="left" vertical="center" indent="1"/>
    </xf>
    <xf numFmtId="4" fontId="27" fillId="52" borderId="39" applyNumberFormat="0" applyProtection="0">
      <alignment horizontal="left" vertical="center" indent="1"/>
    </xf>
    <xf numFmtId="4" fontId="27" fillId="52" borderId="39" applyNumberFormat="0" applyProtection="0">
      <alignment horizontal="left" vertical="center" indent="1"/>
    </xf>
    <xf numFmtId="4" fontId="27" fillId="52" borderId="39" applyNumberFormat="0" applyProtection="0">
      <alignment horizontal="left" vertical="center" indent="1"/>
    </xf>
    <xf numFmtId="4" fontId="27" fillId="52" borderId="39" applyNumberFormat="0" applyProtection="0">
      <alignment horizontal="left" vertical="center" indent="1"/>
    </xf>
    <xf numFmtId="4" fontId="27" fillId="52" borderId="39" applyNumberFormat="0" applyProtection="0">
      <alignment horizontal="left" vertical="center" indent="1"/>
    </xf>
    <xf numFmtId="0" fontId="73" fillId="50" borderId="43" applyNumberFormat="0" applyProtection="0">
      <alignment horizontal="left" vertical="top" indent="1"/>
    </xf>
    <xf numFmtId="4" fontId="27" fillId="20" borderId="39" applyNumberFormat="0" applyProtection="0">
      <alignment horizontal="left" vertical="center" indent="1"/>
    </xf>
    <xf numFmtId="4" fontId="27" fillId="20" borderId="39" applyNumberFormat="0" applyProtection="0">
      <alignment horizontal="left" vertical="center" indent="1"/>
    </xf>
    <xf numFmtId="4" fontId="27" fillId="20" borderId="39" applyNumberFormat="0" applyProtection="0">
      <alignment horizontal="left" vertical="center" indent="1"/>
    </xf>
    <xf numFmtId="4" fontId="27" fillId="20" borderId="39" applyNumberFormat="0" applyProtection="0">
      <alignment horizontal="left" vertical="center" indent="1"/>
    </xf>
    <xf numFmtId="4" fontId="27" fillId="20" borderId="39" applyNumberFormat="0" applyProtection="0">
      <alignment horizontal="left" vertical="center" indent="1"/>
    </xf>
    <xf numFmtId="4" fontId="27" fillId="20" borderId="39" applyNumberFormat="0" applyProtection="0">
      <alignment horizontal="left" vertical="center" indent="1"/>
    </xf>
    <xf numFmtId="4" fontId="27" fillId="16" borderId="39" applyNumberFormat="0" applyProtection="0">
      <alignment horizontal="right" vertical="center"/>
    </xf>
    <xf numFmtId="4" fontId="27" fillId="16" borderId="39" applyNumberFormat="0" applyProtection="0">
      <alignment horizontal="right" vertical="center"/>
    </xf>
    <xf numFmtId="4" fontId="27" fillId="16" borderId="39" applyNumberFormat="0" applyProtection="0">
      <alignment horizontal="right" vertical="center"/>
    </xf>
    <xf numFmtId="4" fontId="27" fillId="16" borderId="39" applyNumberFormat="0" applyProtection="0">
      <alignment horizontal="right" vertical="center"/>
    </xf>
    <xf numFmtId="4" fontId="27" fillId="16" borderId="39" applyNumberFormat="0" applyProtection="0">
      <alignment horizontal="right" vertical="center"/>
    </xf>
    <xf numFmtId="4" fontId="27" fillId="16" borderId="39" applyNumberFormat="0" applyProtection="0">
      <alignment horizontal="right" vertical="center"/>
    </xf>
    <xf numFmtId="4" fontId="27" fillId="53" borderId="39" applyNumberFormat="0" applyProtection="0">
      <alignment horizontal="right" vertical="center"/>
    </xf>
    <xf numFmtId="4" fontId="27" fillId="53" borderId="39" applyNumberFormat="0" applyProtection="0">
      <alignment horizontal="right" vertical="center"/>
    </xf>
    <xf numFmtId="4" fontId="27" fillId="53" borderId="39" applyNumberFormat="0" applyProtection="0">
      <alignment horizontal="right" vertical="center"/>
    </xf>
    <xf numFmtId="4" fontId="27" fillId="53" borderId="39" applyNumberFormat="0" applyProtection="0">
      <alignment horizontal="right" vertical="center"/>
    </xf>
    <xf numFmtId="4" fontId="27" fillId="53" borderId="39" applyNumberFormat="0" applyProtection="0">
      <alignment horizontal="right" vertical="center"/>
    </xf>
    <xf numFmtId="4" fontId="27" fillId="53" borderId="39" applyNumberFormat="0" applyProtection="0">
      <alignment horizontal="right" vertical="center"/>
    </xf>
    <xf numFmtId="4" fontId="27" fillId="44" borderId="44" applyNumberFormat="0" applyProtection="0">
      <alignment horizontal="right" vertical="center"/>
    </xf>
    <xf numFmtId="4" fontId="27" fillId="44" borderId="44" applyNumberFormat="0" applyProtection="0">
      <alignment horizontal="right" vertical="center"/>
    </xf>
    <xf numFmtId="4" fontId="27" fillId="44" borderId="44" applyNumberFormat="0" applyProtection="0">
      <alignment horizontal="right" vertical="center"/>
    </xf>
    <xf numFmtId="4" fontId="27" fillId="44" borderId="44" applyNumberFormat="0" applyProtection="0">
      <alignment horizontal="right" vertical="center"/>
    </xf>
    <xf numFmtId="4" fontId="27" fillId="44" borderId="44" applyNumberFormat="0" applyProtection="0">
      <alignment horizontal="right" vertical="center"/>
    </xf>
    <xf numFmtId="4" fontId="27" fillId="44" borderId="44" applyNumberFormat="0" applyProtection="0">
      <alignment horizontal="right" vertical="center"/>
    </xf>
    <xf numFmtId="4" fontId="27" fillId="19" borderId="39" applyNumberFormat="0" applyProtection="0">
      <alignment horizontal="right" vertical="center"/>
    </xf>
    <xf numFmtId="4" fontId="27" fillId="19" borderId="39" applyNumberFormat="0" applyProtection="0">
      <alignment horizontal="right" vertical="center"/>
    </xf>
    <xf numFmtId="4" fontId="27" fillId="19" borderId="39" applyNumberFormat="0" applyProtection="0">
      <alignment horizontal="right" vertical="center"/>
    </xf>
    <xf numFmtId="4" fontId="27" fillId="19" borderId="39" applyNumberFormat="0" applyProtection="0">
      <alignment horizontal="right" vertical="center"/>
    </xf>
    <xf numFmtId="4" fontId="27" fillId="19" borderId="39" applyNumberFormat="0" applyProtection="0">
      <alignment horizontal="right" vertical="center"/>
    </xf>
    <xf numFmtId="4" fontId="27" fillId="19" borderId="39" applyNumberFormat="0" applyProtection="0">
      <alignment horizontal="right" vertical="center"/>
    </xf>
    <xf numFmtId="4" fontId="27" fillId="21" borderId="39" applyNumberFormat="0" applyProtection="0">
      <alignment horizontal="right" vertical="center"/>
    </xf>
    <xf numFmtId="4" fontId="27" fillId="21" borderId="39" applyNumberFormat="0" applyProtection="0">
      <alignment horizontal="right" vertical="center"/>
    </xf>
    <xf numFmtId="4" fontId="27" fillId="21" borderId="39" applyNumberFormat="0" applyProtection="0">
      <alignment horizontal="right" vertical="center"/>
    </xf>
    <xf numFmtId="4" fontId="27" fillId="21" borderId="39" applyNumberFormat="0" applyProtection="0">
      <alignment horizontal="right" vertical="center"/>
    </xf>
    <xf numFmtId="4" fontId="27" fillId="21" borderId="39" applyNumberFormat="0" applyProtection="0">
      <alignment horizontal="right" vertical="center"/>
    </xf>
    <xf numFmtId="4" fontId="27" fillId="21" borderId="39" applyNumberFormat="0" applyProtection="0">
      <alignment horizontal="right" vertical="center"/>
    </xf>
    <xf numFmtId="4" fontId="27" fillId="48" borderId="39" applyNumberFormat="0" applyProtection="0">
      <alignment horizontal="right" vertical="center"/>
    </xf>
    <xf numFmtId="4" fontId="27" fillId="48" borderId="39" applyNumberFormat="0" applyProtection="0">
      <alignment horizontal="right" vertical="center"/>
    </xf>
    <xf numFmtId="4" fontId="27" fillId="48" borderId="39" applyNumberFormat="0" applyProtection="0">
      <alignment horizontal="right" vertical="center"/>
    </xf>
    <xf numFmtId="4" fontId="27" fillId="48" borderId="39" applyNumberFormat="0" applyProtection="0">
      <alignment horizontal="right" vertical="center"/>
    </xf>
    <xf numFmtId="4" fontId="27" fillId="48" borderId="39" applyNumberFormat="0" applyProtection="0">
      <alignment horizontal="right" vertical="center"/>
    </xf>
    <xf numFmtId="4" fontId="27" fillId="48" borderId="39" applyNumberFormat="0" applyProtection="0">
      <alignment horizontal="right" vertical="center"/>
    </xf>
    <xf numFmtId="4" fontId="27" fillId="46" borderId="39" applyNumberFormat="0" applyProtection="0">
      <alignment horizontal="right" vertical="center"/>
    </xf>
    <xf numFmtId="4" fontId="27" fillId="46" borderId="39" applyNumberFormat="0" applyProtection="0">
      <alignment horizontal="right" vertical="center"/>
    </xf>
    <xf numFmtId="4" fontId="27" fillId="46" borderId="39" applyNumberFormat="0" applyProtection="0">
      <alignment horizontal="right" vertical="center"/>
    </xf>
    <xf numFmtId="4" fontId="27" fillId="46" borderId="39" applyNumberFormat="0" applyProtection="0">
      <alignment horizontal="right" vertical="center"/>
    </xf>
    <xf numFmtId="4" fontId="27" fillId="46" borderId="39" applyNumberFormat="0" applyProtection="0">
      <alignment horizontal="right" vertical="center"/>
    </xf>
    <xf numFmtId="4" fontId="27" fillId="46" borderId="39" applyNumberFormat="0" applyProtection="0">
      <alignment horizontal="right" vertical="center"/>
    </xf>
    <xf numFmtId="4" fontId="27" fillId="54" borderId="39" applyNumberFormat="0" applyProtection="0">
      <alignment horizontal="right" vertical="center"/>
    </xf>
    <xf numFmtId="4" fontId="27" fillId="54" borderId="39" applyNumberFormat="0" applyProtection="0">
      <alignment horizontal="right" vertical="center"/>
    </xf>
    <xf numFmtId="4" fontId="27" fillId="54" borderId="39" applyNumberFormat="0" applyProtection="0">
      <alignment horizontal="right" vertical="center"/>
    </xf>
    <xf numFmtId="4" fontId="27" fillId="54" borderId="39" applyNumberFormat="0" applyProtection="0">
      <alignment horizontal="right" vertical="center"/>
    </xf>
    <xf numFmtId="4" fontId="27" fillId="54" borderId="39" applyNumberFormat="0" applyProtection="0">
      <alignment horizontal="right" vertical="center"/>
    </xf>
    <xf numFmtId="4" fontId="27" fillId="54" borderId="39" applyNumberFormat="0" applyProtection="0">
      <alignment horizontal="right" vertical="center"/>
    </xf>
    <xf numFmtId="4" fontId="27" fillId="18" borderId="39" applyNumberFormat="0" applyProtection="0">
      <alignment horizontal="right" vertical="center"/>
    </xf>
    <xf numFmtId="4" fontId="27" fillId="18" borderId="39" applyNumberFormat="0" applyProtection="0">
      <alignment horizontal="right" vertical="center"/>
    </xf>
    <xf numFmtId="4" fontId="27" fillId="18" borderId="39" applyNumberFormat="0" applyProtection="0">
      <alignment horizontal="right" vertical="center"/>
    </xf>
    <xf numFmtId="4" fontId="27" fillId="18" borderId="39" applyNumberFormat="0" applyProtection="0">
      <alignment horizontal="right" vertical="center"/>
    </xf>
    <xf numFmtId="4" fontId="27" fillId="18" borderId="39" applyNumberFormat="0" applyProtection="0">
      <alignment horizontal="right" vertical="center"/>
    </xf>
    <xf numFmtId="4" fontId="27" fillId="18" borderId="39" applyNumberFormat="0" applyProtection="0">
      <alignment horizontal="right" vertical="center"/>
    </xf>
    <xf numFmtId="4" fontId="27" fillId="55" borderId="44" applyNumberFormat="0" applyProtection="0">
      <alignment horizontal="left" vertical="center" indent="1"/>
    </xf>
    <xf numFmtId="4" fontId="27" fillId="55" borderId="44" applyNumberFormat="0" applyProtection="0">
      <alignment horizontal="left" vertical="center" indent="1"/>
    </xf>
    <xf numFmtId="4" fontId="27" fillId="55" borderId="44" applyNumberFormat="0" applyProtection="0">
      <alignment horizontal="left" vertical="center" indent="1"/>
    </xf>
    <xf numFmtId="4" fontId="27" fillId="55" borderId="44" applyNumberFormat="0" applyProtection="0">
      <alignment horizontal="left" vertical="center" indent="1"/>
    </xf>
    <xf numFmtId="4" fontId="27" fillId="55" borderId="44" applyNumberFormat="0" applyProtection="0">
      <alignment horizontal="left" vertical="center" indent="1"/>
    </xf>
    <xf numFmtId="4" fontId="27" fillId="55" borderId="44" applyNumberFormat="0" applyProtection="0">
      <alignment horizontal="left" vertical="center" indent="1"/>
    </xf>
    <xf numFmtId="4" fontId="21" fillId="56" borderId="44" applyNumberFormat="0" applyProtection="0">
      <alignment horizontal="left" vertical="center" indent="1"/>
    </xf>
    <xf numFmtId="4" fontId="21" fillId="56" borderId="44" applyNumberFormat="0" applyProtection="0">
      <alignment horizontal="left" vertical="center" indent="1"/>
    </xf>
    <xf numFmtId="4" fontId="27" fillId="57" borderId="39" applyNumberFormat="0" applyProtection="0">
      <alignment horizontal="right" vertical="center"/>
    </xf>
    <xf numFmtId="4" fontId="27" fillId="57" borderId="39" applyNumberFormat="0" applyProtection="0">
      <alignment horizontal="right" vertical="center"/>
    </xf>
    <xf numFmtId="4" fontId="27" fillId="57" borderId="39" applyNumberFormat="0" applyProtection="0">
      <alignment horizontal="right" vertical="center"/>
    </xf>
    <xf numFmtId="4" fontId="27" fillId="57" borderId="39" applyNumberFormat="0" applyProtection="0">
      <alignment horizontal="right" vertical="center"/>
    </xf>
    <xf numFmtId="4" fontId="27" fillId="57" borderId="39" applyNumberFormat="0" applyProtection="0">
      <alignment horizontal="right" vertical="center"/>
    </xf>
    <xf numFmtId="4" fontId="27" fillId="57" borderId="39" applyNumberFormat="0" applyProtection="0">
      <alignment horizontal="right" vertical="center"/>
    </xf>
    <xf numFmtId="4" fontId="27" fillId="58" borderId="44" applyNumberFormat="0" applyProtection="0">
      <alignment horizontal="left" vertical="center" indent="1"/>
    </xf>
    <xf numFmtId="4" fontId="27" fillId="58" borderId="44" applyNumberFormat="0" applyProtection="0">
      <alignment horizontal="left" vertical="center" indent="1"/>
    </xf>
    <xf numFmtId="4" fontId="27" fillId="58" borderId="44" applyNumberFormat="0" applyProtection="0">
      <alignment horizontal="left" vertical="center" indent="1"/>
    </xf>
    <xf numFmtId="4" fontId="27" fillId="58" borderId="44" applyNumberFormat="0" applyProtection="0">
      <alignment horizontal="left" vertical="center" indent="1"/>
    </xf>
    <xf numFmtId="4" fontId="27" fillId="58" borderId="44" applyNumberFormat="0" applyProtection="0">
      <alignment horizontal="left" vertical="center" indent="1"/>
    </xf>
    <xf numFmtId="4" fontId="27" fillId="58" borderId="44" applyNumberFormat="0" applyProtection="0">
      <alignment horizontal="left" vertical="center" indent="1"/>
    </xf>
    <xf numFmtId="4" fontId="27" fillId="57" borderId="44" applyNumberFormat="0" applyProtection="0">
      <alignment horizontal="left" vertical="center" indent="1"/>
    </xf>
    <xf numFmtId="4" fontId="27" fillId="57" borderId="44" applyNumberFormat="0" applyProtection="0">
      <alignment horizontal="left" vertical="center" indent="1"/>
    </xf>
    <xf numFmtId="4" fontId="27" fillId="57" borderId="44" applyNumberFormat="0" applyProtection="0">
      <alignment horizontal="left" vertical="center" indent="1"/>
    </xf>
    <xf numFmtId="4" fontId="27" fillId="57" borderId="44" applyNumberFormat="0" applyProtection="0">
      <alignment horizontal="left" vertical="center" indent="1"/>
    </xf>
    <xf numFmtId="4" fontId="27" fillId="57" borderId="44" applyNumberFormat="0" applyProtection="0">
      <alignment horizontal="left" vertical="center" indent="1"/>
    </xf>
    <xf numFmtId="4" fontId="27" fillId="57" borderId="44" applyNumberFormat="0" applyProtection="0">
      <alignment horizontal="left" vertical="center" indent="1"/>
    </xf>
    <xf numFmtId="0" fontId="27" fillId="37" borderId="39" applyNumberFormat="0" applyProtection="0">
      <alignment horizontal="left" vertical="center" indent="1"/>
    </xf>
    <xf numFmtId="0" fontId="27" fillId="37" borderId="39" applyNumberFormat="0" applyProtection="0">
      <alignment horizontal="left" vertical="center" indent="1"/>
    </xf>
    <xf numFmtId="0" fontId="27" fillId="37" borderId="39" applyNumberFormat="0" applyProtection="0">
      <alignment horizontal="left" vertical="center" indent="1"/>
    </xf>
    <xf numFmtId="0" fontId="27" fillId="37" borderId="39" applyNumberFormat="0" applyProtection="0">
      <alignment horizontal="left" vertical="center" indent="1"/>
    </xf>
    <xf numFmtId="0" fontId="27" fillId="37" borderId="39" applyNumberFormat="0" applyProtection="0">
      <alignment horizontal="left" vertical="center" indent="1"/>
    </xf>
    <xf numFmtId="0" fontId="27" fillId="37" borderId="39" applyNumberFormat="0" applyProtection="0">
      <alignment horizontal="left" vertical="center" indent="1"/>
    </xf>
    <xf numFmtId="0" fontId="27" fillId="56" borderId="43" applyNumberFormat="0" applyProtection="0">
      <alignment horizontal="left" vertical="top" indent="1"/>
    </xf>
    <xf numFmtId="0" fontId="27" fillId="56" borderId="43" applyNumberFormat="0" applyProtection="0">
      <alignment horizontal="left" vertical="top" indent="1"/>
    </xf>
    <xf numFmtId="0" fontId="27" fillId="56" borderId="43" applyNumberFormat="0" applyProtection="0">
      <alignment horizontal="left" vertical="top" indent="1"/>
    </xf>
    <xf numFmtId="0" fontId="27" fillId="56" borderId="43" applyNumberFormat="0" applyProtection="0">
      <alignment horizontal="left" vertical="top" indent="1"/>
    </xf>
    <xf numFmtId="0" fontId="27" fillId="56" borderId="43" applyNumberFormat="0" applyProtection="0">
      <alignment horizontal="left" vertical="top" indent="1"/>
    </xf>
    <xf numFmtId="0" fontId="27" fillId="56" borderId="43" applyNumberFormat="0" applyProtection="0">
      <alignment horizontal="left" vertical="top" indent="1"/>
    </xf>
    <xf numFmtId="0" fontId="27" fillId="59" borderId="39" applyNumberFormat="0" applyProtection="0">
      <alignment horizontal="left" vertical="center" indent="1"/>
    </xf>
    <xf numFmtId="0" fontId="27" fillId="59" borderId="39" applyNumberFormat="0" applyProtection="0">
      <alignment horizontal="left" vertical="center" indent="1"/>
    </xf>
    <xf numFmtId="0" fontId="27" fillId="59" borderId="39" applyNumberFormat="0" applyProtection="0">
      <alignment horizontal="left" vertical="center" indent="1"/>
    </xf>
    <xf numFmtId="0" fontId="27" fillId="59" borderId="39" applyNumberFormat="0" applyProtection="0">
      <alignment horizontal="left" vertical="center" indent="1"/>
    </xf>
    <xf numFmtId="0" fontId="27" fillId="59" borderId="39" applyNumberFormat="0" applyProtection="0">
      <alignment horizontal="left" vertical="center" indent="1"/>
    </xf>
    <xf numFmtId="0" fontId="27" fillId="59" borderId="39" applyNumberFormat="0" applyProtection="0">
      <alignment horizontal="left" vertical="center" indent="1"/>
    </xf>
    <xf numFmtId="0" fontId="27" fillId="57" borderId="43" applyNumberFormat="0" applyProtection="0">
      <alignment horizontal="left" vertical="top" indent="1"/>
    </xf>
    <xf numFmtId="0" fontId="27" fillId="57" borderId="43" applyNumberFormat="0" applyProtection="0">
      <alignment horizontal="left" vertical="top" indent="1"/>
    </xf>
    <xf numFmtId="0" fontId="27" fillId="57" borderId="43" applyNumberFormat="0" applyProtection="0">
      <alignment horizontal="left" vertical="top" indent="1"/>
    </xf>
    <xf numFmtId="0" fontId="27" fillId="57" borderId="43" applyNumberFormat="0" applyProtection="0">
      <alignment horizontal="left" vertical="top" indent="1"/>
    </xf>
    <xf numFmtId="0" fontId="27" fillId="57" borderId="43" applyNumberFormat="0" applyProtection="0">
      <alignment horizontal="left" vertical="top" indent="1"/>
    </xf>
    <xf numFmtId="0" fontId="27" fillId="57" borderId="43" applyNumberFormat="0" applyProtection="0">
      <alignment horizontal="left" vertical="top" indent="1"/>
    </xf>
    <xf numFmtId="0" fontId="27" fillId="17" borderId="39" applyNumberFormat="0" applyProtection="0">
      <alignment horizontal="left" vertical="center" indent="1"/>
    </xf>
    <xf numFmtId="0" fontId="27" fillId="17" borderId="39" applyNumberFormat="0" applyProtection="0">
      <alignment horizontal="left" vertical="center" indent="1"/>
    </xf>
    <xf numFmtId="0" fontId="27" fillId="17" borderId="39" applyNumberFormat="0" applyProtection="0">
      <alignment horizontal="left" vertical="center" indent="1"/>
    </xf>
    <xf numFmtId="0" fontId="27" fillId="17" borderId="39" applyNumberFormat="0" applyProtection="0">
      <alignment horizontal="left" vertical="center" indent="1"/>
    </xf>
    <xf numFmtId="0" fontId="27" fillId="17" borderId="39" applyNumberFormat="0" applyProtection="0">
      <alignment horizontal="left" vertical="center" indent="1"/>
    </xf>
    <xf numFmtId="0" fontId="27" fillId="17" borderId="39" applyNumberFormat="0" applyProtection="0">
      <alignment horizontal="left" vertical="center" indent="1"/>
    </xf>
    <xf numFmtId="0" fontId="27" fillId="17" borderId="43" applyNumberFormat="0" applyProtection="0">
      <alignment horizontal="left" vertical="top" indent="1"/>
    </xf>
    <xf numFmtId="0" fontId="27" fillId="17" borderId="43" applyNumberFormat="0" applyProtection="0">
      <alignment horizontal="left" vertical="top" indent="1"/>
    </xf>
    <xf numFmtId="0" fontId="27" fillId="17" borderId="43" applyNumberFormat="0" applyProtection="0">
      <alignment horizontal="left" vertical="top" indent="1"/>
    </xf>
    <xf numFmtId="0" fontId="27" fillId="17" borderId="43" applyNumberFormat="0" applyProtection="0">
      <alignment horizontal="left" vertical="top" indent="1"/>
    </xf>
    <xf numFmtId="0" fontId="27" fillId="17" borderId="43" applyNumberFormat="0" applyProtection="0">
      <alignment horizontal="left" vertical="top" indent="1"/>
    </xf>
    <xf numFmtId="0" fontId="27" fillId="17" borderId="43" applyNumberFormat="0" applyProtection="0">
      <alignment horizontal="left" vertical="top" indent="1"/>
    </xf>
    <xf numFmtId="0" fontId="27" fillId="58" borderId="39" applyNumberFormat="0" applyProtection="0">
      <alignment horizontal="left" vertical="center" indent="1"/>
    </xf>
    <xf numFmtId="0" fontId="27" fillId="58" borderId="39" applyNumberFormat="0" applyProtection="0">
      <alignment horizontal="left" vertical="center" indent="1"/>
    </xf>
    <xf numFmtId="0" fontId="27" fillId="58" borderId="39" applyNumberFormat="0" applyProtection="0">
      <alignment horizontal="left" vertical="center" indent="1"/>
    </xf>
    <xf numFmtId="0" fontId="27" fillId="58" borderId="39" applyNumberFormat="0" applyProtection="0">
      <alignment horizontal="left" vertical="center" indent="1"/>
    </xf>
    <xf numFmtId="0" fontId="27" fillId="58" borderId="39" applyNumberFormat="0" applyProtection="0">
      <alignment horizontal="left" vertical="center" indent="1"/>
    </xf>
    <xf numFmtId="0" fontId="27" fillId="58" borderId="39" applyNumberFormat="0" applyProtection="0">
      <alignment horizontal="left" vertical="center" indent="1"/>
    </xf>
    <xf numFmtId="0" fontId="27" fillId="58" borderId="43" applyNumberFormat="0" applyProtection="0">
      <alignment horizontal="left" vertical="top" indent="1"/>
    </xf>
    <xf numFmtId="0" fontId="27" fillId="58" borderId="43" applyNumberFormat="0" applyProtection="0">
      <alignment horizontal="left" vertical="top" indent="1"/>
    </xf>
    <xf numFmtId="0" fontId="27" fillId="58" borderId="43" applyNumberFormat="0" applyProtection="0">
      <alignment horizontal="left" vertical="top" indent="1"/>
    </xf>
    <xf numFmtId="0" fontId="27" fillId="58" borderId="43" applyNumberFormat="0" applyProtection="0">
      <alignment horizontal="left" vertical="top" indent="1"/>
    </xf>
    <xf numFmtId="0" fontId="27" fillId="58" borderId="43" applyNumberFormat="0" applyProtection="0">
      <alignment horizontal="left" vertical="top" indent="1"/>
    </xf>
    <xf numFmtId="0" fontId="27" fillId="58" borderId="43" applyNumberFormat="0" applyProtection="0">
      <alignment horizontal="left" vertical="top" indent="1"/>
    </xf>
    <xf numFmtId="0" fontId="27" fillId="60" borderId="45" applyNumberFormat="0">
      <protection locked="0"/>
    </xf>
    <xf numFmtId="0" fontId="27" fillId="60" borderId="45" applyNumberFormat="0">
      <protection locked="0"/>
    </xf>
    <xf numFmtId="0" fontId="27" fillId="60" borderId="45" applyNumberFormat="0">
      <protection locked="0"/>
    </xf>
    <xf numFmtId="0" fontId="27" fillId="60" borderId="45" applyNumberFormat="0">
      <protection locked="0"/>
    </xf>
    <xf numFmtId="0" fontId="27" fillId="60" borderId="45" applyNumberFormat="0">
      <protection locked="0"/>
    </xf>
    <xf numFmtId="0" fontId="27" fillId="60" borderId="45" applyNumberFormat="0">
      <protection locked="0"/>
    </xf>
    <xf numFmtId="0" fontId="74" fillId="56" borderId="46" applyBorder="0"/>
    <xf numFmtId="4" fontId="75" fillId="51" borderId="43" applyNumberFormat="0" applyProtection="0">
      <alignment vertical="center"/>
    </xf>
    <xf numFmtId="4" fontId="72" fillId="61" borderId="11" applyNumberFormat="0" applyProtection="0">
      <alignment vertical="center"/>
    </xf>
    <xf numFmtId="4" fontId="75" fillId="37" borderId="43" applyNumberFormat="0" applyProtection="0">
      <alignment horizontal="left" vertical="center" indent="1"/>
    </xf>
    <xf numFmtId="0" fontId="75" fillId="51" borderId="43" applyNumberFormat="0" applyProtection="0">
      <alignment horizontal="left" vertical="top" indent="1"/>
    </xf>
    <xf numFmtId="4" fontId="27" fillId="0" borderId="39" applyNumberFormat="0" applyProtection="0">
      <alignment horizontal="right" vertical="center"/>
    </xf>
    <xf numFmtId="4" fontId="27" fillId="0" borderId="39" applyNumberFormat="0" applyProtection="0">
      <alignment horizontal="right" vertical="center"/>
    </xf>
    <xf numFmtId="4" fontId="27" fillId="0" borderId="39" applyNumberFormat="0" applyProtection="0">
      <alignment horizontal="right" vertical="center"/>
    </xf>
    <xf numFmtId="4" fontId="27" fillId="0" borderId="39" applyNumberFormat="0" applyProtection="0">
      <alignment horizontal="right" vertical="center"/>
    </xf>
    <xf numFmtId="4" fontId="27" fillId="0" borderId="39" applyNumberFormat="0" applyProtection="0">
      <alignment horizontal="right" vertical="center"/>
    </xf>
    <xf numFmtId="4" fontId="27" fillId="0" borderId="39" applyNumberFormat="0" applyProtection="0">
      <alignment horizontal="right" vertical="center"/>
    </xf>
    <xf numFmtId="4" fontId="72" fillId="62" borderId="39" applyNumberFormat="0" applyProtection="0">
      <alignment horizontal="right" vertical="center"/>
    </xf>
    <xf numFmtId="4" fontId="27" fillId="20" borderId="39" applyNumberFormat="0" applyProtection="0">
      <alignment horizontal="left" vertical="center" indent="1"/>
    </xf>
    <xf numFmtId="4" fontId="27" fillId="20" borderId="39" applyNumberFormat="0" applyProtection="0">
      <alignment horizontal="left" vertical="center" indent="1"/>
    </xf>
    <xf numFmtId="4" fontId="27" fillId="20" borderId="39" applyNumberFormat="0" applyProtection="0">
      <alignment horizontal="left" vertical="center" indent="1"/>
    </xf>
    <xf numFmtId="4" fontId="27" fillId="20" borderId="39" applyNumberFormat="0" applyProtection="0">
      <alignment horizontal="left" vertical="center" indent="1"/>
    </xf>
    <xf numFmtId="4" fontId="27" fillId="20" borderId="39" applyNumberFormat="0" applyProtection="0">
      <alignment horizontal="left" vertical="center" indent="1"/>
    </xf>
    <xf numFmtId="4" fontId="27" fillId="20" borderId="39" applyNumberFormat="0" applyProtection="0">
      <alignment horizontal="left" vertical="center" indent="1"/>
    </xf>
    <xf numFmtId="0" fontId="75" fillId="57" borderId="43" applyNumberFormat="0" applyProtection="0">
      <alignment horizontal="left" vertical="top" indent="1"/>
    </xf>
    <xf numFmtId="4" fontId="76" fillId="63" borderId="44" applyNumberFormat="0" applyProtection="0">
      <alignment horizontal="left" vertical="center" indent="1"/>
    </xf>
    <xf numFmtId="0" fontId="27" fillId="64" borderId="11"/>
    <xf numFmtId="0" fontId="27" fillId="64" borderId="11"/>
    <xf numFmtId="0" fontId="27" fillId="64" borderId="11"/>
    <xf numFmtId="0" fontId="27" fillId="64" borderId="11"/>
    <xf numFmtId="0" fontId="27" fillId="64" borderId="11"/>
    <xf numFmtId="0" fontId="27" fillId="64" borderId="11"/>
    <xf numFmtId="4" fontId="77" fillId="60" borderId="39" applyNumberFormat="0" applyProtection="0">
      <alignment horizontal="right" vertical="center"/>
    </xf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83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0" fillId="0" borderId="47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10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510">
    <xf numFmtId="0" fontId="0" fillId="0" borderId="0" xfId="0"/>
    <xf numFmtId="0" fontId="24" fillId="0" borderId="0" xfId="0" applyFont="1"/>
    <xf numFmtId="4" fontId="0" fillId="0" borderId="0" xfId="0" applyNumberFormat="1"/>
    <xf numFmtId="0" fontId="0" fillId="0" borderId="0" xfId="0" applyBorder="1"/>
    <xf numFmtId="164" fontId="0" fillId="0" borderId="0" xfId="0" applyNumberFormat="1"/>
    <xf numFmtId="0" fontId="0" fillId="0" borderId="0" xfId="0" applyFill="1" applyBorder="1"/>
    <xf numFmtId="43" fontId="0" fillId="0" borderId="0" xfId="2" applyFont="1"/>
    <xf numFmtId="43" fontId="0" fillId="0" borderId="0" xfId="0" applyNumberFormat="1"/>
    <xf numFmtId="0" fontId="30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164" fontId="30" fillId="0" borderId="0" xfId="0" applyNumberFormat="1" applyFont="1" applyFill="1" applyBorder="1" applyAlignment="1">
      <alignment horizontal="right" wrapText="1"/>
    </xf>
    <xf numFmtId="0" fontId="0" fillId="0" borderId="2" xfId="0" applyFill="1" applyBorder="1"/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right" wrapText="1"/>
    </xf>
    <xf numFmtId="164" fontId="30" fillId="0" borderId="0" xfId="0" applyNumberFormat="1" applyFont="1" applyFill="1" applyBorder="1" applyAlignment="1">
      <alignment horizontal="center" vertical="center" wrapText="1"/>
    </xf>
    <xf numFmtId="164" fontId="30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32" fillId="3" borderId="0" xfId="0" applyFont="1" applyFill="1" applyBorder="1" applyAlignment="1">
      <alignment wrapText="1"/>
    </xf>
    <xf numFmtId="0" fontId="31" fillId="2" borderId="7" xfId="0" applyFont="1" applyFill="1" applyBorder="1" applyAlignment="1">
      <alignment horizontal="center" wrapText="1"/>
    </xf>
    <xf numFmtId="0" fontId="31" fillId="2" borderId="8" xfId="0" applyFont="1" applyFill="1" applyBorder="1" applyAlignment="1">
      <alignment wrapText="1"/>
    </xf>
    <xf numFmtId="164" fontId="32" fillId="3" borderId="4" xfId="0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164" fontId="31" fillId="2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21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11" xfId="0" applyFont="1" applyBorder="1"/>
    <xf numFmtId="0" fontId="24" fillId="0" borderId="11" xfId="0" applyFont="1" applyBorder="1" applyAlignment="1">
      <alignment horizontal="left" vertical="center"/>
    </xf>
    <xf numFmtId="0" fontId="34" fillId="4" borderId="11" xfId="0" applyFont="1" applyFill="1" applyBorder="1"/>
    <xf numFmtId="0" fontId="34" fillId="4" borderId="11" xfId="0" applyFont="1" applyFill="1" applyBorder="1" applyAlignment="1">
      <alignment horizontal="center"/>
    </xf>
    <xf numFmtId="43" fontId="34" fillId="4" borderId="11" xfId="2" applyFont="1" applyFill="1" applyBorder="1" applyAlignment="1">
      <alignment horizontal="center"/>
    </xf>
    <xf numFmtId="43" fontId="24" fillId="0" borderId="0" xfId="2" applyFont="1" applyAlignment="1">
      <alignment horizontal="right"/>
    </xf>
    <xf numFmtId="164" fontId="33" fillId="8" borderId="4" xfId="0" applyNumberFormat="1" applyFont="1" applyFill="1" applyBorder="1" applyAlignment="1">
      <alignment horizontal="right"/>
    </xf>
    <xf numFmtId="0" fontId="28" fillId="0" borderId="0" xfId="0" applyFont="1" applyAlignment="1">
      <alignment vertical="center"/>
    </xf>
    <xf numFmtId="0" fontId="35" fillId="0" borderId="0" xfId="0" applyFont="1"/>
    <xf numFmtId="0" fontId="37" fillId="0" borderId="0" xfId="0" applyFont="1"/>
    <xf numFmtId="0" fontId="37" fillId="5" borderId="0" xfId="0" applyFont="1" applyFill="1" applyBorder="1" applyAlignment="1">
      <alignment wrapText="1"/>
    </xf>
    <xf numFmtId="164" fontId="36" fillId="7" borderId="6" xfId="0" applyNumberFormat="1" applyFont="1" applyFill="1" applyBorder="1" applyAlignment="1">
      <alignment horizontal="right" wrapText="1"/>
    </xf>
    <xf numFmtId="164" fontId="37" fillId="5" borderId="4" xfId="0" applyNumberFormat="1" applyFont="1" applyFill="1" applyBorder="1" applyAlignment="1">
      <alignment horizontal="right" wrapText="1"/>
    </xf>
    <xf numFmtId="0" fontId="36" fillId="7" borderId="10" xfId="0" applyFont="1" applyFill="1" applyBorder="1" applyAlignment="1">
      <alignment horizontal="center"/>
    </xf>
    <xf numFmtId="0" fontId="36" fillId="7" borderId="10" xfId="0" applyFont="1" applyFill="1" applyBorder="1" applyAlignment="1">
      <alignment horizontal="center" wrapText="1"/>
    </xf>
    <xf numFmtId="3" fontId="37" fillId="5" borderId="4" xfId="0" applyNumberFormat="1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21" fontId="38" fillId="0" borderId="0" xfId="0" applyNumberFormat="1" applyFont="1" applyAlignment="1">
      <alignment vertical="center"/>
    </xf>
    <xf numFmtId="4" fontId="38" fillId="0" borderId="0" xfId="0" applyNumberFormat="1" applyFont="1"/>
    <xf numFmtId="21" fontId="28" fillId="0" borderId="0" xfId="0" applyNumberFormat="1" applyFont="1" applyAlignment="1">
      <alignment vertical="center"/>
    </xf>
    <xf numFmtId="21" fontId="0" fillId="0" borderId="0" xfId="0" applyNumberFormat="1"/>
    <xf numFmtId="3" fontId="0" fillId="0" borderId="0" xfId="0" applyNumberFormat="1"/>
    <xf numFmtId="0" fontId="40" fillId="6" borderId="6" xfId="0" applyFont="1" applyFill="1" applyBorder="1" applyAlignment="1">
      <alignment horizontal="center"/>
    </xf>
    <xf numFmtId="0" fontId="40" fillId="6" borderId="4" xfId="0" applyFont="1" applyFill="1" applyBorder="1" applyAlignment="1">
      <alignment horizontal="center" wrapText="1"/>
    </xf>
    <xf numFmtId="0" fontId="40" fillId="6" borderId="0" xfId="0" applyFont="1" applyFill="1" applyBorder="1" applyAlignment="1">
      <alignment horizontal="center" wrapText="1"/>
    </xf>
    <xf numFmtId="0" fontId="40" fillId="6" borderId="0" xfId="0" applyFont="1" applyFill="1" applyBorder="1" applyAlignment="1">
      <alignment horizontal="center" wrapText="1"/>
    </xf>
    <xf numFmtId="0" fontId="21" fillId="0" borderId="11" xfId="0" applyFont="1" applyBorder="1" applyAlignment="1">
      <alignment horizontal="left" vertical="center"/>
    </xf>
    <xf numFmtId="1" fontId="41" fillId="8" borderId="0" xfId="0" applyNumberFormat="1" applyFont="1" applyFill="1" applyAlignment="1">
      <alignment horizontal="left" vertical="center"/>
    </xf>
    <xf numFmtId="0" fontId="21" fillId="8" borderId="0" xfId="0" applyFont="1" applyFill="1" applyAlignment="1">
      <alignment horizontal="center"/>
    </xf>
    <xf numFmtId="0" fontId="42" fillId="8" borderId="0" xfId="0" applyFont="1" applyFill="1"/>
    <xf numFmtId="1" fontId="43" fillId="8" borderId="0" xfId="0" applyNumberFormat="1" applyFont="1" applyFill="1" applyAlignment="1">
      <alignment vertical="center"/>
    </xf>
    <xf numFmtId="0" fontId="21" fillId="8" borderId="0" xfId="0" applyFont="1" applyFill="1"/>
    <xf numFmtId="4" fontId="42" fillId="8" borderId="0" xfId="0" applyNumberFormat="1" applyFont="1" applyFill="1" applyBorder="1"/>
    <xf numFmtId="4" fontId="21" fillId="8" borderId="0" xfId="0" applyNumberFormat="1" applyFont="1" applyFill="1"/>
    <xf numFmtId="1" fontId="41" fillId="8" borderId="0" xfId="0" applyNumberFormat="1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/>
    </xf>
    <xf numFmtId="0" fontId="42" fillId="8" borderId="0" xfId="0" applyFont="1" applyFill="1" applyBorder="1"/>
    <xf numFmtId="1" fontId="41" fillId="8" borderId="1" xfId="0" applyNumberFormat="1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center"/>
    </xf>
    <xf numFmtId="0" fontId="42" fillId="8" borderId="1" xfId="0" applyFont="1" applyFill="1" applyBorder="1"/>
    <xf numFmtId="43" fontId="21" fillId="0" borderId="0" xfId="2" quotePrefix="1" applyFont="1" applyAlignment="1">
      <alignment horizontal="right"/>
    </xf>
    <xf numFmtId="43" fontId="24" fillId="0" borderId="11" xfId="2" applyFont="1" applyBorder="1" applyAlignment="1"/>
    <xf numFmtId="43" fontId="24" fillId="0" borderId="0" xfId="2" applyFont="1" applyAlignment="1"/>
    <xf numFmtId="43" fontId="44" fillId="0" borderId="0" xfId="2" applyFont="1"/>
    <xf numFmtId="0" fontId="27" fillId="0" borderId="0" xfId="0" applyFont="1"/>
    <xf numFmtId="0" fontId="21" fillId="0" borderId="11" xfId="0" applyFont="1" applyBorder="1"/>
    <xf numFmtId="0" fontId="21" fillId="0" borderId="0" xfId="0" applyFont="1"/>
    <xf numFmtId="0" fontId="21" fillId="8" borderId="11" xfId="0" applyFont="1" applyFill="1" applyBorder="1" applyAlignment="1">
      <alignment horizontal="left" vertical="center"/>
    </xf>
    <xf numFmtId="0" fontId="24" fillId="8" borderId="11" xfId="0" applyFont="1" applyFill="1" applyBorder="1"/>
    <xf numFmtId="43" fontId="24" fillId="8" borderId="11" xfId="2" applyFont="1" applyFill="1" applyBorder="1" applyAlignment="1">
      <alignment horizontal="left"/>
    </xf>
    <xf numFmtId="43" fontId="24" fillId="8" borderId="11" xfId="2" applyFont="1" applyFill="1" applyBorder="1" applyAlignment="1">
      <alignment horizontal="right"/>
    </xf>
    <xf numFmtId="0" fontId="24" fillId="8" borderId="11" xfId="2" applyNumberFormat="1" applyFont="1" applyFill="1" applyBorder="1" applyAlignment="1">
      <alignment horizontal="right"/>
    </xf>
    <xf numFmtId="0" fontId="48" fillId="8" borderId="0" xfId="0" applyFont="1" applyFill="1" applyAlignment="1"/>
    <xf numFmtId="43" fontId="41" fillId="8" borderId="0" xfId="2" applyFont="1" applyFill="1" applyAlignment="1">
      <alignment horizontal="left" vertical="center"/>
    </xf>
    <xf numFmtId="0" fontId="24" fillId="8" borderId="11" xfId="0" applyFont="1" applyFill="1" applyBorder="1" applyAlignment="1">
      <alignment horizontal="left" vertical="center"/>
    </xf>
    <xf numFmtId="0" fontId="46" fillId="11" borderId="11" xfId="0" applyFont="1" applyFill="1" applyBorder="1"/>
    <xf numFmtId="43" fontId="46" fillId="11" borderId="11" xfId="2" applyFont="1" applyFill="1" applyBorder="1"/>
    <xf numFmtId="0" fontId="48" fillId="8" borderId="11" xfId="0" applyFont="1" applyFill="1" applyBorder="1" applyAlignment="1"/>
    <xf numFmtId="43" fontId="48" fillId="0" borderId="11" xfId="2" applyFont="1" applyBorder="1"/>
    <xf numFmtId="0" fontId="0" fillId="0" borderId="11" xfId="0" applyBorder="1"/>
    <xf numFmtId="0" fontId="47" fillId="11" borderId="11" xfId="0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0" fontId="38" fillId="8" borderId="0" xfId="0" applyFont="1" applyFill="1" applyAlignment="1">
      <alignment vertical="center"/>
    </xf>
    <xf numFmtId="0" fontId="0" fillId="8" borderId="0" xfId="0" applyFill="1"/>
    <xf numFmtId="4" fontId="0" fillId="8" borderId="0" xfId="0" applyNumberFormat="1" applyFill="1"/>
    <xf numFmtId="43" fontId="0" fillId="8" borderId="0" xfId="2" applyFont="1" applyFill="1"/>
    <xf numFmtId="0" fontId="49" fillId="8" borderId="0" xfId="0" applyFont="1" applyFill="1"/>
    <xf numFmtId="21" fontId="38" fillId="8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center"/>
    </xf>
    <xf numFmtId="43" fontId="49" fillId="8" borderId="0" xfId="0" applyNumberFormat="1" applyFont="1" applyFill="1"/>
    <xf numFmtId="43" fontId="0" fillId="8" borderId="0" xfId="0" applyNumberFormat="1" applyFill="1"/>
    <xf numFmtId="4" fontId="38" fillId="8" borderId="0" xfId="0" applyNumberFormat="1" applyFont="1" applyFill="1"/>
    <xf numFmtId="43" fontId="22" fillId="8" borderId="0" xfId="2" quotePrefix="1" applyFont="1" applyFill="1" applyAlignment="1">
      <alignment horizontal="center"/>
    </xf>
    <xf numFmtId="0" fontId="0" fillId="8" borderId="11" xfId="0" applyFill="1" applyBorder="1"/>
    <xf numFmtId="43" fontId="0" fillId="8" borderId="11" xfId="2" applyFont="1" applyFill="1" applyBorder="1"/>
    <xf numFmtId="9" fontId="0" fillId="8" borderId="11" xfId="0" applyNumberFormat="1" applyFill="1" applyBorder="1"/>
    <xf numFmtId="0" fontId="22" fillId="9" borderId="11" xfId="0" applyFont="1" applyFill="1" applyBorder="1" applyAlignment="1">
      <alignment horizontal="center"/>
    </xf>
    <xf numFmtId="9" fontId="0" fillId="9" borderId="11" xfId="0" applyNumberFormat="1" applyFill="1" applyBorder="1"/>
    <xf numFmtId="43" fontId="0" fillId="9" borderId="11" xfId="2" applyFont="1" applyFill="1" applyBorder="1"/>
    <xf numFmtId="0" fontId="35" fillId="8" borderId="0" xfId="0" applyFont="1" applyFill="1"/>
    <xf numFmtId="43" fontId="0" fillId="12" borderId="0" xfId="2" applyFont="1" applyFill="1"/>
    <xf numFmtId="164" fontId="0" fillId="8" borderId="0" xfId="0" applyNumberFormat="1" applyFill="1"/>
    <xf numFmtId="3" fontId="36" fillId="7" borderId="6" xfId="2" applyNumberFormat="1" applyFont="1" applyFill="1" applyBorder="1" applyAlignment="1">
      <alignment horizontal="right"/>
    </xf>
    <xf numFmtId="0" fontId="0" fillId="8" borderId="14" xfId="0" applyFill="1" applyBorder="1"/>
    <xf numFmtId="43" fontId="0" fillId="8" borderId="15" xfId="0" applyNumberFormat="1" applyFill="1" applyBorder="1"/>
    <xf numFmtId="43" fontId="0" fillId="8" borderId="16" xfId="0" applyNumberFormat="1" applyFill="1" applyBorder="1"/>
    <xf numFmtId="0" fontId="0" fillId="8" borderId="17" xfId="0" applyFill="1" applyBorder="1"/>
    <xf numFmtId="43" fontId="0" fillId="8" borderId="0" xfId="0" applyNumberFormat="1" applyFill="1" applyBorder="1"/>
    <xf numFmtId="43" fontId="0" fillId="8" borderId="18" xfId="0" applyNumberFormat="1" applyFill="1" applyBorder="1"/>
    <xf numFmtId="0" fontId="0" fillId="8" borderId="0" xfId="0" applyFill="1" applyBorder="1"/>
    <xf numFmtId="0" fontId="0" fillId="8" borderId="18" xfId="0" applyFill="1" applyBorder="1"/>
    <xf numFmtId="0" fontId="0" fillId="8" borderId="19" xfId="0" applyFill="1" applyBorder="1"/>
    <xf numFmtId="43" fontId="0" fillId="8" borderId="1" xfId="0" applyNumberFormat="1" applyFill="1" applyBorder="1"/>
    <xf numFmtId="0" fontId="0" fillId="8" borderId="20" xfId="0" applyFill="1" applyBorder="1"/>
    <xf numFmtId="0" fontId="50" fillId="0" borderId="0" xfId="0" applyFont="1"/>
    <xf numFmtId="43" fontId="24" fillId="8" borderId="11" xfId="2" applyFont="1" applyFill="1" applyBorder="1" applyAlignment="1"/>
    <xf numFmtId="43" fontId="0" fillId="9" borderId="0" xfId="2" applyFont="1" applyFill="1"/>
    <xf numFmtId="0" fontId="45" fillId="8" borderId="0" xfId="0" applyFont="1" applyFill="1"/>
    <xf numFmtId="4" fontId="0" fillId="8" borderId="0" xfId="0" applyNumberFormat="1" applyFill="1" applyBorder="1"/>
    <xf numFmtId="0" fontId="51" fillId="8" borderId="0" xfId="3" applyFont="1" applyFill="1" applyBorder="1"/>
    <xf numFmtId="4" fontId="51" fillId="8" borderId="0" xfId="3" applyNumberFormat="1" applyFont="1" applyFill="1" applyBorder="1"/>
    <xf numFmtId="21" fontId="0" fillId="8" borderId="0" xfId="0" applyNumberFormat="1" applyFill="1"/>
    <xf numFmtId="4" fontId="21" fillId="8" borderId="11" xfId="0" applyNumberFormat="1" applyFont="1" applyFill="1" applyBorder="1"/>
    <xf numFmtId="168" fontId="0" fillId="8" borderId="0" xfId="2" applyNumberFormat="1" applyFont="1" applyFill="1"/>
    <xf numFmtId="0" fontId="38" fillId="8" borderId="11" xfId="0" applyFont="1" applyFill="1" applyBorder="1" applyAlignment="1">
      <alignment vertical="center"/>
    </xf>
    <xf numFmtId="4" fontId="0" fillId="8" borderId="11" xfId="0" applyNumberFormat="1" applyFill="1" applyBorder="1"/>
    <xf numFmtId="0" fontId="54" fillId="8" borderId="0" xfId="0" applyFont="1" applyFill="1"/>
    <xf numFmtId="0" fontId="54" fillId="0" borderId="0" xfId="0" applyFont="1"/>
    <xf numFmtId="0" fontId="53" fillId="8" borderId="0" xfId="0" applyFont="1" applyFill="1"/>
    <xf numFmtId="167" fontId="35" fillId="8" borderId="0" xfId="0" applyNumberFormat="1" applyFont="1" applyFill="1"/>
    <xf numFmtId="166" fontId="35" fillId="8" borderId="0" xfId="4" applyFont="1" applyFill="1"/>
    <xf numFmtId="166" fontId="53" fillId="8" borderId="0" xfId="4" applyFont="1" applyFill="1"/>
    <xf numFmtId="167" fontId="53" fillId="8" borderId="0" xfId="0" applyNumberFormat="1" applyFont="1" applyFill="1"/>
    <xf numFmtId="168" fontId="53" fillId="8" borderId="0" xfId="0" applyNumberFormat="1" applyFont="1" applyFill="1"/>
    <xf numFmtId="17" fontId="55" fillId="10" borderId="6" xfId="0" quotePrefix="1" applyNumberFormat="1" applyFont="1" applyFill="1" applyBorder="1" applyAlignment="1">
      <alignment horizontal="center"/>
    </xf>
    <xf numFmtId="167" fontId="37" fillId="5" borderId="0" xfId="4" applyNumberFormat="1" applyFont="1" applyFill="1" applyBorder="1"/>
    <xf numFmtId="0" fontId="42" fillId="0" borderId="0" xfId="0" applyFont="1"/>
    <xf numFmtId="0" fontId="37" fillId="5" borderId="0" xfId="0" applyFont="1" applyFill="1"/>
    <xf numFmtId="164" fontId="40" fillId="6" borderId="4" xfId="0" applyNumberFormat="1" applyFont="1" applyFill="1" applyBorder="1" applyAlignment="1">
      <alignment horizontal="center" wrapText="1"/>
    </xf>
    <xf numFmtId="0" fontId="36" fillId="7" borderId="0" xfId="0" applyFont="1" applyFill="1" applyBorder="1" applyAlignment="1">
      <alignment wrapText="1"/>
    </xf>
    <xf numFmtId="164" fontId="36" fillId="7" borderId="4" xfId="0" applyNumberFormat="1" applyFont="1" applyFill="1" applyBorder="1" applyAlignment="1">
      <alignment horizontal="right" wrapText="1"/>
    </xf>
    <xf numFmtId="4" fontId="56" fillId="0" borderId="0" xfId="0" applyNumberFormat="1" applyFont="1"/>
    <xf numFmtId="4" fontId="0" fillId="12" borderId="11" xfId="0" applyNumberFormat="1" applyFill="1" applyBorder="1"/>
    <xf numFmtId="0" fontId="28" fillId="0" borderId="0" xfId="0" applyFont="1" applyBorder="1" applyAlignment="1">
      <alignment vertical="center"/>
    </xf>
    <xf numFmtId="4" fontId="0" fillId="0" borderId="0" xfId="0" applyNumberFormat="1" applyBorder="1"/>
    <xf numFmtId="0" fontId="28" fillId="8" borderId="0" xfId="0" applyFont="1" applyFill="1" applyAlignment="1">
      <alignment vertical="center"/>
    </xf>
    <xf numFmtId="0" fontId="38" fillId="8" borderId="0" xfId="0" applyFont="1" applyFill="1" applyBorder="1" applyAlignment="1">
      <alignment vertical="center"/>
    </xf>
    <xf numFmtId="43" fontId="57" fillId="8" borderId="0" xfId="6" applyFont="1" applyFill="1"/>
    <xf numFmtId="164" fontId="33" fillId="8" borderId="5" xfId="0" applyNumberFormat="1" applyFont="1" applyFill="1" applyBorder="1" applyAlignment="1">
      <alignment horizontal="right"/>
    </xf>
    <xf numFmtId="0" fontId="58" fillId="0" borderId="0" xfId="0" applyFont="1"/>
    <xf numFmtId="0" fontId="21" fillId="0" borderId="0" xfId="0" applyFont="1" applyAlignment="1">
      <alignment wrapText="1"/>
    </xf>
    <xf numFmtId="43" fontId="48" fillId="8" borderId="11" xfId="2" applyFont="1" applyFill="1" applyBorder="1"/>
    <xf numFmtId="43" fontId="24" fillId="8" borderId="11" xfId="0" applyNumberFormat="1" applyFont="1" applyFill="1" applyBorder="1"/>
    <xf numFmtId="4" fontId="0" fillId="0" borderId="11" xfId="0" applyNumberFormat="1" applyBorder="1"/>
    <xf numFmtId="0" fontId="40" fillId="6" borderId="33" xfId="0" applyFont="1" applyFill="1" applyBorder="1" applyAlignment="1">
      <alignment horizontal="center" wrapText="1"/>
    </xf>
    <xf numFmtId="0" fontId="40" fillId="6" borderId="28" xfId="0" applyFont="1" applyFill="1" applyBorder="1" applyAlignment="1">
      <alignment horizontal="center" wrapText="1"/>
    </xf>
    <xf numFmtId="0" fontId="37" fillId="5" borderId="28" xfId="0" applyFont="1" applyFill="1" applyBorder="1" applyAlignment="1">
      <alignment wrapText="1"/>
    </xf>
    <xf numFmtId="164" fontId="33" fillId="8" borderId="5" xfId="0" applyNumberFormat="1" applyFont="1" applyFill="1" applyBorder="1" applyAlignment="1">
      <alignment horizontal="right"/>
    </xf>
    <xf numFmtId="0" fontId="40" fillId="6" borderId="31" xfId="0" quotePrefix="1" applyFont="1" applyFill="1" applyBorder="1" applyAlignment="1">
      <alignment horizontal="center"/>
    </xf>
    <xf numFmtId="0" fontId="36" fillId="7" borderId="34" xfId="0" applyFont="1" applyFill="1" applyBorder="1" applyAlignment="1">
      <alignment wrapText="1"/>
    </xf>
    <xf numFmtId="0" fontId="36" fillId="7" borderId="34" xfId="0" applyFont="1" applyFill="1" applyBorder="1" applyAlignment="1">
      <alignment horizontal="left" wrapText="1"/>
    </xf>
    <xf numFmtId="41" fontId="37" fillId="5" borderId="4" xfId="0" applyNumberFormat="1" applyFont="1" applyFill="1" applyBorder="1" applyAlignment="1">
      <alignment horizontal="center"/>
    </xf>
    <xf numFmtId="0" fontId="40" fillId="6" borderId="36" xfId="0" applyFont="1" applyFill="1" applyBorder="1" applyAlignment="1">
      <alignment horizontal="center" wrapText="1"/>
    </xf>
    <xf numFmtId="0" fontId="40" fillId="6" borderId="35" xfId="0" applyFont="1" applyFill="1" applyBorder="1" applyAlignment="1">
      <alignment horizontal="center" wrapText="1"/>
    </xf>
    <xf numFmtId="0" fontId="36" fillId="7" borderId="25" xfId="0" applyFont="1" applyFill="1" applyBorder="1" applyAlignment="1">
      <alignment wrapText="1"/>
    </xf>
    <xf numFmtId="164" fontId="36" fillId="7" borderId="37" xfId="0" applyNumberFormat="1" applyFont="1" applyFill="1" applyBorder="1" applyAlignment="1">
      <alignment horizontal="right" wrapText="1"/>
    </xf>
    <xf numFmtId="49" fontId="59" fillId="0" borderId="0" xfId="0" applyNumberFormat="1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 indent="2"/>
    </xf>
    <xf numFmtId="39" fontId="59" fillId="0" borderId="0" xfId="0" applyNumberFormat="1" applyFont="1" applyAlignment="1">
      <alignment vertical="center"/>
    </xf>
    <xf numFmtId="0" fontId="59" fillId="0" borderId="0" xfId="0" applyFont="1" applyAlignment="1">
      <alignment horizontal="left" vertical="center" indent="3"/>
    </xf>
    <xf numFmtId="0" fontId="59" fillId="0" borderId="0" xfId="0" applyFont="1" applyAlignment="1">
      <alignment horizontal="left" vertical="center" indent="4"/>
    </xf>
    <xf numFmtId="0" fontId="59" fillId="0" borderId="0" xfId="0" applyFont="1" applyAlignment="1">
      <alignment horizontal="left" vertical="center" indent="5"/>
    </xf>
    <xf numFmtId="0" fontId="59" fillId="0" borderId="0" xfId="0" applyFont="1" applyAlignment="1">
      <alignment horizontal="left" vertical="center" indent="6"/>
    </xf>
    <xf numFmtId="0" fontId="59" fillId="0" borderId="0" xfId="0" applyFont="1" applyAlignment="1">
      <alignment horizontal="left" vertical="center" indent="7"/>
    </xf>
    <xf numFmtId="14" fontId="40" fillId="6" borderId="31" xfId="0" quotePrefix="1" applyNumberFormat="1" applyFont="1" applyFill="1" applyBorder="1" applyAlignment="1">
      <alignment horizontal="center" wrapText="1"/>
    </xf>
    <xf numFmtId="0" fontId="86" fillId="0" borderId="0" xfId="0" applyFont="1"/>
    <xf numFmtId="0" fontId="86" fillId="0" borderId="28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0" xfId="0" applyFont="1" applyBorder="1"/>
    <xf numFmtId="0" fontId="88" fillId="14" borderId="25" xfId="3" applyFont="1" applyFill="1" applyBorder="1" applyAlignment="1">
      <alignment vertical="center"/>
    </xf>
    <xf numFmtId="0" fontId="89" fillId="0" borderId="51" xfId="3" applyFont="1" applyFill="1" applyBorder="1" applyAlignment="1">
      <alignment horizontal="left" vertical="center"/>
    </xf>
    <xf numFmtId="170" fontId="87" fillId="0" borderId="52" xfId="0" applyNumberFormat="1" applyFont="1" applyBorder="1" applyAlignment="1">
      <alignment vertical="center"/>
    </xf>
    <xf numFmtId="0" fontId="90" fillId="0" borderId="29" xfId="3" applyFont="1" applyFill="1" applyBorder="1" applyAlignment="1">
      <alignment horizontal="left" vertical="center"/>
    </xf>
    <xf numFmtId="170" fontId="87" fillId="0" borderId="0" xfId="0" applyNumberFormat="1" applyFont="1" applyAlignment="1">
      <alignment vertical="center"/>
    </xf>
    <xf numFmtId="0" fontId="91" fillId="0" borderId="0" xfId="0" applyFont="1"/>
    <xf numFmtId="0" fontId="91" fillId="0" borderId="0" xfId="0" applyFont="1" applyFill="1" applyAlignment="1">
      <alignment horizontal="left"/>
    </xf>
    <xf numFmtId="0" fontId="91" fillId="0" borderId="28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28" xfId="0" applyFont="1" applyBorder="1"/>
    <xf numFmtId="37" fontId="91" fillId="0" borderId="28" xfId="0" applyNumberFormat="1" applyFont="1" applyBorder="1"/>
    <xf numFmtId="0" fontId="91" fillId="0" borderId="0" xfId="0" applyFont="1" applyBorder="1"/>
    <xf numFmtId="0" fontId="91" fillId="0" borderId="0" xfId="0" applyFont="1" applyBorder="1" applyAlignment="1">
      <alignment vertical="center"/>
    </xf>
    <xf numFmtId="0" fontId="92" fillId="14" borderId="25" xfId="3" applyFont="1" applyFill="1" applyBorder="1" applyAlignment="1">
      <alignment vertical="center"/>
    </xf>
    <xf numFmtId="0" fontId="91" fillId="0" borderId="51" xfId="3" applyFont="1" applyFill="1" applyBorder="1" applyAlignment="1">
      <alignment horizontal="left" vertical="center"/>
    </xf>
    <xf numFmtId="170" fontId="91" fillId="0" borderId="52" xfId="0" applyNumberFormat="1" applyFont="1" applyBorder="1" applyAlignment="1">
      <alignment vertical="center"/>
    </xf>
    <xf numFmtId="170" fontId="91" fillId="0" borderId="0" xfId="0" applyNumberFormat="1" applyFont="1" applyAlignment="1">
      <alignment vertical="center"/>
    </xf>
    <xf numFmtId="0" fontId="93" fillId="0" borderId="33" xfId="3" applyFont="1" applyFill="1" applyBorder="1" applyAlignment="1">
      <alignment horizontal="left" vertical="center"/>
    </xf>
    <xf numFmtId="0" fontId="91" fillId="0" borderId="0" xfId="0" applyFont="1" applyFill="1"/>
    <xf numFmtId="0" fontId="91" fillId="0" borderId="0" xfId="0" applyFont="1" applyFill="1" applyAlignment="1">
      <alignment horizontal="center"/>
    </xf>
    <xf numFmtId="170" fontId="85" fillId="0" borderId="33" xfId="8" applyNumberFormat="1" applyFont="1" applyFill="1" applyBorder="1" applyAlignment="1">
      <alignment horizontal="left" vertical="center"/>
    </xf>
    <xf numFmtId="170" fontId="85" fillId="0" borderId="31" xfId="8" applyNumberFormat="1" applyFont="1" applyFill="1" applyBorder="1" applyAlignment="1">
      <alignment horizontal="center" vertical="center"/>
    </xf>
    <xf numFmtId="170" fontId="85" fillId="0" borderId="29" xfId="8" applyNumberFormat="1" applyFont="1" applyFill="1" applyBorder="1" applyAlignment="1">
      <alignment horizontal="right" vertical="center"/>
    </xf>
    <xf numFmtId="170" fontId="85" fillId="0" borderId="21" xfId="8" applyNumberFormat="1" applyFont="1" applyFill="1" applyBorder="1" applyAlignment="1">
      <alignment horizontal="right" vertical="center"/>
    </xf>
    <xf numFmtId="170" fontId="91" fillId="0" borderId="33" xfId="8" applyNumberFormat="1" applyFont="1" applyFill="1" applyBorder="1" applyAlignment="1">
      <alignment horizontal="left" vertical="center"/>
    </xf>
    <xf numFmtId="170" fontId="91" fillId="0" borderId="31" xfId="8" applyNumberFormat="1" applyFont="1" applyFill="1" applyBorder="1" applyAlignment="1">
      <alignment horizontal="center" vertical="center"/>
    </xf>
    <xf numFmtId="170" fontId="91" fillId="0" borderId="21" xfId="8" applyNumberFormat="1" applyFont="1" applyFill="1" applyBorder="1" applyAlignment="1">
      <alignment horizontal="right" vertical="center"/>
    </xf>
    <xf numFmtId="170" fontId="91" fillId="0" borderId="24" xfId="8" applyNumberFormat="1" applyFont="1" applyFill="1" applyBorder="1" applyAlignment="1">
      <alignment horizontal="left" vertical="center" indent="1"/>
    </xf>
    <xf numFmtId="170" fontId="91" fillId="0" borderId="33" xfId="8" applyNumberFormat="1" applyFont="1" applyFill="1" applyBorder="1" applyAlignment="1">
      <alignment horizontal="left" vertical="center" indent="1"/>
    </xf>
    <xf numFmtId="170" fontId="91" fillId="0" borderId="26" xfId="8" applyNumberFormat="1" applyFont="1" applyFill="1" applyBorder="1" applyAlignment="1">
      <alignment horizontal="center" vertical="center"/>
    </xf>
    <xf numFmtId="170" fontId="85" fillId="0" borderId="0" xfId="8" applyNumberFormat="1" applyFont="1" applyFill="1" applyBorder="1" applyAlignment="1">
      <alignment horizontal="left" vertical="center"/>
    </xf>
    <xf numFmtId="170" fontId="85" fillId="0" borderId="28" xfId="8" applyNumberFormat="1" applyFont="1" applyFill="1" applyBorder="1" applyAlignment="1">
      <alignment horizontal="center" vertical="center"/>
    </xf>
    <xf numFmtId="170" fontId="91" fillId="0" borderId="0" xfId="8" applyNumberFormat="1" applyFont="1" applyFill="1" applyBorder="1" applyAlignment="1">
      <alignment horizontal="left" vertical="center"/>
    </xf>
    <xf numFmtId="170" fontId="91" fillId="0" borderId="25" xfId="8" applyNumberFormat="1" applyFont="1" applyFill="1" applyBorder="1" applyAlignment="1">
      <alignment horizontal="left" vertical="center"/>
    </xf>
    <xf numFmtId="170" fontId="91" fillId="0" borderId="28" xfId="8" applyNumberFormat="1" applyFont="1" applyFill="1" applyBorder="1" applyAlignment="1">
      <alignment horizontal="center" vertical="center"/>
    </xf>
    <xf numFmtId="0" fontId="91" fillId="0" borderId="0" xfId="0" applyFont="1" applyFill="1" applyBorder="1" applyAlignment="1"/>
    <xf numFmtId="0" fontId="91" fillId="0" borderId="0" xfId="0" applyFont="1" applyFill="1" applyBorder="1"/>
    <xf numFmtId="170" fontId="91" fillId="0" borderId="52" xfId="0" applyNumberFormat="1" applyFont="1" applyFill="1" applyBorder="1" applyAlignment="1">
      <alignment vertical="center"/>
    </xf>
    <xf numFmtId="170" fontId="91" fillId="0" borderId="0" xfId="0" applyNumberFormat="1" applyFont="1" applyFill="1" applyAlignment="1">
      <alignment vertical="center"/>
    </xf>
    <xf numFmtId="0" fontId="86" fillId="0" borderId="0" xfId="0" applyFont="1" applyBorder="1" applyAlignment="1">
      <alignment horizontal="center" vertical="center"/>
    </xf>
    <xf numFmtId="0" fontId="91" fillId="0" borderId="0" xfId="0" applyFont="1" applyBorder="1" applyAlignment="1">
      <alignment horizontal="center" vertical="center"/>
    </xf>
    <xf numFmtId="164" fontId="91" fillId="0" borderId="0" xfId="0" applyNumberFormat="1" applyFont="1" applyBorder="1"/>
    <xf numFmtId="4" fontId="91" fillId="0" borderId="0" xfId="0" applyNumberFormat="1" applyFont="1" applyBorder="1"/>
    <xf numFmtId="4" fontId="91" fillId="0" borderId="0" xfId="0" applyNumberFormat="1" applyFont="1" applyFill="1" applyBorder="1"/>
    <xf numFmtId="0" fontId="91" fillId="0" borderId="0" xfId="0" applyFont="1" applyAlignment="1">
      <alignment vertical="center"/>
    </xf>
    <xf numFmtId="0" fontId="85" fillId="0" borderId="24" xfId="3" applyFont="1" applyFill="1" applyBorder="1" applyAlignment="1">
      <alignment horizontal="left" vertical="center" indent="1"/>
    </xf>
    <xf numFmtId="0" fontId="85" fillId="0" borderId="26" xfId="3" applyFont="1" applyFill="1" applyBorder="1" applyAlignment="1">
      <alignment horizontal="center" vertical="center"/>
    </xf>
    <xf numFmtId="0" fontId="91" fillId="0" borderId="24" xfId="3" applyFont="1" applyFill="1" applyBorder="1" applyAlignment="1">
      <alignment horizontal="left" vertical="center" indent="1"/>
    </xf>
    <xf numFmtId="0" fontId="91" fillId="0" borderId="26" xfId="3" applyFont="1" applyFill="1" applyBorder="1" applyAlignment="1">
      <alignment horizontal="center" vertical="center"/>
    </xf>
    <xf numFmtId="170" fontId="91" fillId="0" borderId="21" xfId="3" quotePrefix="1" applyNumberFormat="1" applyFont="1" applyFill="1" applyBorder="1" applyAlignment="1">
      <alignment vertical="center"/>
    </xf>
    <xf numFmtId="170" fontId="85" fillId="0" borderId="21" xfId="3" applyNumberFormat="1" applyFont="1" applyFill="1" applyBorder="1" applyAlignment="1">
      <alignment vertical="center"/>
    </xf>
    <xf numFmtId="167" fontId="85" fillId="0" borderId="21" xfId="2" applyNumberFormat="1" applyFont="1" applyFill="1" applyBorder="1" applyAlignment="1">
      <alignment vertical="center"/>
    </xf>
    <xf numFmtId="0" fontId="85" fillId="0" borderId="30" xfId="3" applyFont="1" applyFill="1" applyBorder="1" applyAlignment="1">
      <alignment horizontal="left" vertical="center" indent="1"/>
    </xf>
    <xf numFmtId="0" fontId="85" fillId="0" borderId="31" xfId="3" applyFont="1" applyFill="1" applyBorder="1" applyAlignment="1">
      <alignment horizontal="center" vertical="center"/>
    </xf>
    <xf numFmtId="0" fontId="91" fillId="0" borderId="0" xfId="0" applyFont="1" applyFill="1" applyAlignment="1">
      <alignment horizontal="right"/>
    </xf>
    <xf numFmtId="0" fontId="91" fillId="0" borderId="0" xfId="0" applyFont="1" applyAlignment="1">
      <alignment horizontal="right"/>
    </xf>
    <xf numFmtId="170" fontId="91" fillId="0" borderId="0" xfId="0" applyNumberFormat="1" applyFont="1" applyFill="1" applyAlignment="1">
      <alignment horizontal="right"/>
    </xf>
    <xf numFmtId="170" fontId="85" fillId="0" borderId="21" xfId="3" quotePrefix="1" applyNumberFormat="1" applyFont="1" applyFill="1" applyBorder="1" applyAlignment="1">
      <alignment vertical="center"/>
    </xf>
    <xf numFmtId="0" fontId="91" fillId="0" borderId="24" xfId="3" applyFont="1" applyFill="1" applyBorder="1" applyAlignment="1">
      <alignment horizontal="left" vertical="center" indent="2"/>
    </xf>
    <xf numFmtId="0" fontId="94" fillId="0" borderId="0" xfId="0" applyFont="1"/>
    <xf numFmtId="0" fontId="86" fillId="0" borderId="0" xfId="0" applyFont="1" applyFill="1"/>
    <xf numFmtId="14" fontId="88" fillId="14" borderId="25" xfId="3" applyNumberFormat="1" applyFont="1" applyFill="1" applyBorder="1" applyAlignment="1">
      <alignment horizontal="center" vertical="center"/>
    </xf>
    <xf numFmtId="170" fontId="85" fillId="0" borderId="21" xfId="0" applyNumberFormat="1" applyFont="1" applyFill="1" applyBorder="1" applyAlignment="1">
      <alignment vertical="center"/>
    </xf>
    <xf numFmtId="0" fontId="85" fillId="0" borderId="24" xfId="0" applyFont="1" applyFill="1" applyBorder="1" applyAlignment="1">
      <alignment horizontal="left" vertical="center" indent="1"/>
    </xf>
    <xf numFmtId="49" fontId="85" fillId="0" borderId="25" xfId="0" applyNumberFormat="1" applyFont="1" applyFill="1" applyBorder="1" applyAlignment="1">
      <alignment horizontal="left" vertical="center" indent="1"/>
    </xf>
    <xf numFmtId="170" fontId="85" fillId="0" borderId="21" xfId="0" applyNumberFormat="1" applyFont="1" applyFill="1" applyBorder="1" applyAlignment="1">
      <alignment horizontal="left" vertical="center" indent="1"/>
    </xf>
    <xf numFmtId="0" fontId="91" fillId="0" borderId="24" xfId="0" applyFont="1" applyFill="1" applyBorder="1" applyAlignment="1">
      <alignment horizontal="left" vertical="center" indent="2"/>
    </xf>
    <xf numFmtId="49" fontId="91" fillId="0" borderId="25" xfId="0" applyNumberFormat="1" applyFont="1" applyFill="1" applyBorder="1" applyAlignment="1">
      <alignment horizontal="left" vertical="center" indent="2"/>
    </xf>
    <xf numFmtId="170" fontId="91" fillId="0" borderId="21" xfId="0" applyNumberFormat="1" applyFont="1" applyFill="1" applyBorder="1" applyAlignment="1">
      <alignment horizontal="left" vertical="center" indent="2"/>
    </xf>
    <xf numFmtId="49" fontId="91" fillId="0" borderId="25" xfId="0" applyNumberFormat="1" applyFont="1" applyFill="1" applyBorder="1" applyAlignment="1">
      <alignment horizontal="left" vertical="center" indent="3"/>
    </xf>
    <xf numFmtId="170" fontId="91" fillId="0" borderId="21" xfId="0" applyNumberFormat="1" applyFont="1" applyFill="1" applyBorder="1" applyAlignment="1">
      <alignment vertical="center"/>
    </xf>
    <xf numFmtId="0" fontId="85" fillId="0" borderId="30" xfId="0" applyFont="1" applyFill="1" applyBorder="1" applyAlignment="1">
      <alignment vertical="center"/>
    </xf>
    <xf numFmtId="49" fontId="85" fillId="0" borderId="33" xfId="0" applyNumberFormat="1" applyFont="1" applyFill="1" applyBorder="1" applyAlignment="1">
      <alignment horizontal="center" vertical="center"/>
    </xf>
    <xf numFmtId="170" fontId="85" fillId="0" borderId="29" xfId="0" applyNumberFormat="1" applyFont="1" applyFill="1" applyBorder="1" applyAlignment="1">
      <alignment vertical="center"/>
    </xf>
    <xf numFmtId="0" fontId="91" fillId="0" borderId="0" xfId="20" applyFont="1" applyAlignment="1">
      <alignment vertical="center"/>
    </xf>
    <xf numFmtId="0" fontId="91" fillId="0" borderId="0" xfId="20" applyFont="1" applyBorder="1" applyAlignment="1">
      <alignment vertical="center"/>
    </xf>
    <xf numFmtId="0" fontId="91" fillId="0" borderId="0" xfId="20" applyFont="1" applyAlignment="1">
      <alignment horizontal="center" vertical="center"/>
    </xf>
    <xf numFmtId="0" fontId="91" fillId="0" borderId="26" xfId="20" applyFont="1" applyBorder="1" applyAlignment="1">
      <alignment horizontal="center" vertical="center"/>
    </xf>
    <xf numFmtId="0" fontId="85" fillId="0" borderId="0" xfId="20" applyFont="1" applyAlignment="1">
      <alignment horizontal="center" vertical="center"/>
    </xf>
    <xf numFmtId="0" fontId="91" fillId="0" borderId="0" xfId="20" applyFont="1" applyFill="1" applyAlignment="1">
      <alignment vertical="center"/>
    </xf>
    <xf numFmtId="0" fontId="85" fillId="0" borderId="0" xfId="20" applyFont="1" applyAlignment="1">
      <alignment vertical="center"/>
    </xf>
    <xf numFmtId="0" fontId="85" fillId="0" borderId="0" xfId="20" applyFont="1" applyFill="1" applyAlignment="1">
      <alignment vertical="center"/>
    </xf>
    <xf numFmtId="0" fontId="93" fillId="0" borderId="26" xfId="20" applyFont="1" applyBorder="1" applyAlignment="1">
      <alignment vertical="center"/>
    </xf>
    <xf numFmtId="170" fontId="91" fillId="0" borderId="21" xfId="20" applyNumberFormat="1" applyFont="1" applyBorder="1" applyAlignment="1">
      <alignment vertical="center"/>
    </xf>
    <xf numFmtId="14" fontId="92" fillId="14" borderId="25" xfId="3" applyNumberFormat="1" applyFont="1" applyFill="1" applyBorder="1" applyAlignment="1">
      <alignment horizontal="center" vertical="center"/>
    </xf>
    <xf numFmtId="0" fontId="85" fillId="0" borderId="24" xfId="0" applyFont="1" applyFill="1" applyBorder="1" applyAlignment="1">
      <alignment horizontal="center" vertical="center"/>
    </xf>
    <xf numFmtId="0" fontId="85" fillId="0" borderId="25" xfId="0" applyFont="1" applyFill="1" applyBorder="1" applyAlignment="1">
      <alignment vertical="center"/>
    </xf>
    <xf numFmtId="49" fontId="85" fillId="0" borderId="25" xfId="20" applyNumberFormat="1" applyFont="1" applyFill="1" applyBorder="1" applyAlignment="1">
      <alignment horizontal="center" vertical="center"/>
    </xf>
    <xf numFmtId="170" fontId="85" fillId="0" borderId="21" xfId="20" applyNumberFormat="1" applyFont="1" applyFill="1" applyBorder="1" applyAlignment="1">
      <alignment vertical="center"/>
    </xf>
    <xf numFmtId="0" fontId="91" fillId="0" borderId="24" xfId="3" applyFont="1" applyFill="1" applyBorder="1" applyAlignment="1">
      <alignment horizontal="center" vertical="center"/>
    </xf>
    <xf numFmtId="0" fontId="91" fillId="0" borderId="25" xfId="3" applyFont="1" applyFill="1" applyBorder="1" applyAlignment="1">
      <alignment horizontal="left" vertical="center"/>
    </xf>
    <xf numFmtId="0" fontId="85" fillId="0" borderId="25" xfId="3" applyFont="1" applyFill="1" applyBorder="1" applyAlignment="1">
      <alignment horizontal="left" vertical="center"/>
    </xf>
    <xf numFmtId="170" fontId="91" fillId="0" borderId="21" xfId="23" applyNumberFormat="1" applyFont="1" applyFill="1" applyBorder="1" applyAlignment="1">
      <alignment horizontal="right" vertical="center"/>
    </xf>
    <xf numFmtId="0" fontId="85" fillId="0" borderId="24" xfId="3" applyFont="1" applyFill="1" applyBorder="1" applyAlignment="1">
      <alignment horizontal="center" vertical="center"/>
    </xf>
    <xf numFmtId="170" fontId="85" fillId="0" borderId="21" xfId="23" applyNumberFormat="1" applyFont="1" applyFill="1" applyBorder="1" applyAlignment="1">
      <alignment horizontal="right" vertical="center"/>
    </xf>
    <xf numFmtId="0" fontId="91" fillId="0" borderId="25" xfId="3" applyFont="1" applyFill="1" applyBorder="1" applyAlignment="1">
      <alignment horizontal="left" vertical="center" indent="1"/>
    </xf>
    <xf numFmtId="0" fontId="85" fillId="0" borderId="25" xfId="3" applyFont="1" applyFill="1" applyBorder="1" applyAlignment="1">
      <alignment horizontal="left" vertical="center" indent="1"/>
    </xf>
    <xf numFmtId="0" fontId="85" fillId="0" borderId="32" xfId="20" applyFont="1" applyBorder="1" applyAlignment="1">
      <alignment vertical="center"/>
    </xf>
    <xf numFmtId="0" fontId="91" fillId="0" borderId="32" xfId="20" applyFont="1" applyBorder="1" applyAlignment="1">
      <alignment horizontal="center" vertical="center"/>
    </xf>
    <xf numFmtId="0" fontId="85" fillId="0" borderId="27" xfId="20" applyFont="1" applyBorder="1" applyAlignment="1">
      <alignment horizontal="right" vertical="center"/>
    </xf>
    <xf numFmtId="0" fontId="85" fillId="0" borderId="30" xfId="0" applyFont="1" applyFill="1" applyBorder="1" applyAlignment="1">
      <alignment horizontal="center" vertical="center"/>
    </xf>
    <xf numFmtId="0" fontId="85" fillId="0" borderId="33" xfId="0" applyFont="1" applyFill="1" applyBorder="1" applyAlignment="1">
      <alignment vertical="center"/>
    </xf>
    <xf numFmtId="49" fontId="85" fillId="0" borderId="33" xfId="20" applyNumberFormat="1" applyFont="1" applyFill="1" applyBorder="1" applyAlignment="1">
      <alignment horizontal="center" vertical="center"/>
    </xf>
    <xf numFmtId="170" fontId="85" fillId="0" borderId="29" xfId="20" applyNumberFormat="1" applyFont="1" applyFill="1" applyBorder="1" applyAlignment="1">
      <alignment vertical="center"/>
    </xf>
    <xf numFmtId="0" fontId="85" fillId="0" borderId="62" xfId="0" applyFont="1" applyFill="1" applyBorder="1" applyAlignment="1">
      <alignment horizontal="center" vertical="center" wrapText="1"/>
    </xf>
    <xf numFmtId="0" fontId="86" fillId="0" borderId="0" xfId="0" applyFont="1" applyAlignment="1">
      <alignment vertical="center"/>
    </xf>
    <xf numFmtId="0" fontId="91" fillId="0" borderId="0" xfId="0" applyFont="1" applyFill="1" applyAlignment="1">
      <alignment vertical="center"/>
    </xf>
    <xf numFmtId="0" fontId="91" fillId="0" borderId="0" xfId="0" applyFont="1" applyFill="1" applyAlignment="1">
      <alignment horizontal="left" vertical="center"/>
    </xf>
    <xf numFmtId="170" fontId="85" fillId="0" borderId="52" xfId="0" applyNumberFormat="1" applyFont="1" applyBorder="1" applyAlignment="1">
      <alignment vertical="center"/>
    </xf>
    <xf numFmtId="0" fontId="91" fillId="0" borderId="21" xfId="10" applyFont="1" applyFill="1" applyBorder="1" applyAlignment="1">
      <alignment horizontal="left" vertical="center" indent="1"/>
    </xf>
    <xf numFmtId="170" fontId="91" fillId="0" borderId="29" xfId="23" applyNumberFormat="1" applyFont="1" applyFill="1" applyBorder="1" applyAlignment="1">
      <alignment horizontal="right" vertical="center"/>
    </xf>
    <xf numFmtId="0" fontId="85" fillId="0" borderId="58" xfId="10" applyFont="1" applyFill="1" applyBorder="1" applyAlignment="1">
      <alignment horizontal="center" vertical="center" wrapText="1"/>
    </xf>
    <xf numFmtId="4" fontId="86" fillId="0" borderId="0" xfId="0" applyNumberFormat="1" applyFont="1" applyAlignment="1">
      <alignment vertical="center"/>
    </xf>
    <xf numFmtId="0" fontId="96" fillId="8" borderId="12" xfId="0" applyFont="1" applyFill="1" applyBorder="1" applyAlignment="1">
      <alignment horizontal="right" vertical="center"/>
    </xf>
    <xf numFmtId="0" fontId="96" fillId="8" borderId="0" xfId="0" applyFont="1" applyFill="1" applyBorder="1" applyAlignment="1">
      <alignment horizontal="right" vertical="center"/>
    </xf>
    <xf numFmtId="4" fontId="91" fillId="0" borderId="0" xfId="0" applyNumberFormat="1" applyFont="1" applyAlignment="1">
      <alignment vertical="center"/>
    </xf>
    <xf numFmtId="0" fontId="85" fillId="0" borderId="51" xfId="3" applyFont="1" applyFill="1" applyBorder="1" applyAlignment="1">
      <alignment horizontal="left" vertical="center"/>
    </xf>
    <xf numFmtId="168" fontId="91" fillId="0" borderId="21" xfId="2" applyNumberFormat="1" applyFont="1" applyFill="1" applyBorder="1" applyAlignment="1">
      <alignment horizontal="right" vertical="center"/>
    </xf>
    <xf numFmtId="168" fontId="91" fillId="0" borderId="29" xfId="2" applyNumberFormat="1" applyFont="1" applyFill="1" applyBorder="1" applyAlignment="1">
      <alignment horizontal="right" vertical="center"/>
    </xf>
    <xf numFmtId="4" fontId="94" fillId="0" borderId="0" xfId="0" applyNumberFormat="1" applyFont="1" applyAlignment="1">
      <alignment vertical="center"/>
    </xf>
    <xf numFmtId="164" fontId="91" fillId="0" borderId="4" xfId="0" applyNumberFormat="1" applyFont="1" applyFill="1" applyBorder="1" applyAlignment="1">
      <alignment vertical="center" wrapText="1"/>
    </xf>
    <xf numFmtId="14" fontId="85" fillId="0" borderId="62" xfId="0" quotePrefix="1" applyNumberFormat="1" applyFont="1" applyFill="1" applyBorder="1" applyAlignment="1">
      <alignment horizontal="center" vertical="center"/>
    </xf>
    <xf numFmtId="170" fontId="99" fillId="0" borderId="33" xfId="8" applyNumberFormat="1" applyFont="1" applyFill="1" applyBorder="1" applyAlignment="1">
      <alignment horizontal="left" vertical="center"/>
    </xf>
    <xf numFmtId="170" fontId="99" fillId="0" borderId="31" xfId="8" applyNumberFormat="1" applyFont="1" applyFill="1" applyBorder="1" applyAlignment="1">
      <alignment horizontal="center" vertical="center"/>
    </xf>
    <xf numFmtId="170" fontId="99" fillId="0" borderId="21" xfId="8" applyNumberFormat="1" applyFont="1" applyFill="1" applyBorder="1" applyAlignment="1">
      <alignment horizontal="right" vertical="center"/>
    </xf>
    <xf numFmtId="170" fontId="99" fillId="0" borderId="25" xfId="8" applyNumberFormat="1" applyFont="1" applyFill="1" applyBorder="1" applyAlignment="1">
      <alignment horizontal="left" vertical="center"/>
    </xf>
    <xf numFmtId="170" fontId="99" fillId="0" borderId="26" xfId="8" applyNumberFormat="1" applyFont="1" applyFill="1" applyBorder="1" applyAlignment="1">
      <alignment horizontal="center" vertical="center"/>
    </xf>
    <xf numFmtId="170" fontId="100" fillId="0" borderId="25" xfId="8" applyNumberFormat="1" applyFont="1" applyFill="1" applyBorder="1" applyAlignment="1">
      <alignment horizontal="left" vertical="center"/>
    </xf>
    <xf numFmtId="170" fontId="100" fillId="0" borderId="21" xfId="8" applyNumberFormat="1" applyFont="1" applyFill="1" applyBorder="1" applyAlignment="1">
      <alignment horizontal="right" vertical="center"/>
    </xf>
    <xf numFmtId="14" fontId="98" fillId="14" borderId="27" xfId="5" quotePrefix="1" applyNumberFormat="1" applyFont="1" applyFill="1" applyBorder="1" applyAlignment="1">
      <alignment horizontal="center" wrapText="1"/>
    </xf>
    <xf numFmtId="14" fontId="98" fillId="14" borderId="27" xfId="0" quotePrefix="1" applyNumberFormat="1" applyFont="1" applyFill="1" applyBorder="1" applyAlignment="1">
      <alignment horizontal="center" vertical="center" wrapText="1"/>
    </xf>
    <xf numFmtId="0" fontId="91" fillId="15" borderId="21" xfId="10" applyFont="1" applyFill="1" applyBorder="1" applyAlignment="1">
      <alignment horizontal="left" vertical="center" indent="1"/>
    </xf>
    <xf numFmtId="0" fontId="91" fillId="0" borderId="27" xfId="10" applyFont="1" applyFill="1" applyBorder="1" applyAlignment="1">
      <alignment horizontal="left" vertical="center" indent="1"/>
    </xf>
    <xf numFmtId="170" fontId="91" fillId="0" borderId="27" xfId="23" applyNumberFormat="1" applyFont="1" applyFill="1" applyBorder="1" applyAlignment="1">
      <alignment horizontal="right" vertical="center"/>
    </xf>
    <xf numFmtId="170" fontId="85" fillId="0" borderId="58" xfId="23" applyNumberFormat="1" applyFont="1" applyFill="1" applyBorder="1" applyAlignment="1">
      <alignment horizontal="right" vertical="center"/>
    </xf>
    <xf numFmtId="0" fontId="91" fillId="15" borderId="27" xfId="10" applyFont="1" applyFill="1" applyBorder="1" applyAlignment="1">
      <alignment horizontal="left" vertical="center" indent="1"/>
    </xf>
    <xf numFmtId="0" fontId="85" fillId="0" borderId="58" xfId="0" applyFont="1" applyFill="1" applyBorder="1" applyAlignment="1">
      <alignment horizontal="center" vertical="center" wrapText="1"/>
    </xf>
    <xf numFmtId="170" fontId="91" fillId="0" borderId="0" xfId="8" applyNumberFormat="1" applyFont="1" applyFill="1" applyBorder="1" applyAlignment="1">
      <alignment horizontal="left" vertical="center" indent="1"/>
    </xf>
    <xf numFmtId="170" fontId="91" fillId="0" borderId="27" xfId="8" applyNumberFormat="1" applyFont="1" applyFill="1" applyBorder="1" applyAlignment="1">
      <alignment horizontal="right" vertical="center"/>
    </xf>
    <xf numFmtId="0" fontId="91" fillId="0" borderId="54" xfId="0" applyFont="1" applyFill="1" applyBorder="1" applyAlignment="1"/>
    <xf numFmtId="0" fontId="91" fillId="0" borderId="63" xfId="0" applyFont="1" applyFill="1" applyBorder="1" applyAlignment="1">
      <alignment horizontal="center"/>
    </xf>
    <xf numFmtId="0" fontId="91" fillId="0" borderId="63" xfId="0" applyFont="1" applyFill="1" applyBorder="1" applyAlignment="1">
      <alignment horizontal="left"/>
    </xf>
    <xf numFmtId="0" fontId="85" fillId="0" borderId="71" xfId="3" applyFont="1" applyFill="1" applyBorder="1" applyAlignment="1">
      <alignment horizontal="left" vertical="center" indent="1"/>
    </xf>
    <xf numFmtId="0" fontId="85" fillId="0" borderId="32" xfId="3" applyFont="1" applyFill="1" applyBorder="1" applyAlignment="1">
      <alignment horizontal="center" vertical="center"/>
    </xf>
    <xf numFmtId="44" fontId="85" fillId="0" borderId="27" xfId="17" applyFont="1" applyFill="1" applyBorder="1" applyAlignment="1">
      <alignment vertical="center"/>
    </xf>
    <xf numFmtId="0" fontId="91" fillId="0" borderId="63" xfId="0" applyFont="1" applyBorder="1" applyAlignment="1"/>
    <xf numFmtId="4" fontId="91" fillId="0" borderId="63" xfId="0" applyNumberFormat="1" applyFont="1" applyBorder="1"/>
    <xf numFmtId="4" fontId="91" fillId="0" borderId="63" xfId="0" applyNumberFormat="1" applyFont="1" applyFill="1" applyBorder="1"/>
    <xf numFmtId="170" fontId="85" fillId="0" borderId="27" xfId="3" applyNumberFormat="1" applyFont="1" applyFill="1" applyBorder="1" applyAlignment="1">
      <alignment vertical="center"/>
    </xf>
    <xf numFmtId="0" fontId="91" fillId="8" borderId="63" xfId="0" applyFont="1" applyFill="1" applyBorder="1" applyAlignment="1"/>
    <xf numFmtId="0" fontId="91" fillId="8" borderId="63" xfId="0" applyFont="1" applyFill="1" applyBorder="1" applyAlignment="1">
      <alignment horizontal="right"/>
    </xf>
    <xf numFmtId="0" fontId="91" fillId="0" borderId="63" xfId="0" applyFont="1" applyFill="1" applyBorder="1" applyAlignment="1">
      <alignment horizontal="right"/>
    </xf>
    <xf numFmtId="0" fontId="91" fillId="0" borderId="63" xfId="0" applyFont="1" applyBorder="1"/>
    <xf numFmtId="0" fontId="97" fillId="14" borderId="25" xfId="3" applyFont="1" applyFill="1" applyBorder="1" applyAlignment="1">
      <alignment vertical="center"/>
    </xf>
    <xf numFmtId="0" fontId="101" fillId="0" borderId="29" xfId="3" applyFont="1" applyFill="1" applyBorder="1" applyAlignment="1">
      <alignment horizontal="left" vertical="center"/>
    </xf>
    <xf numFmtId="0" fontId="85" fillId="0" borderId="71" xfId="0" applyFont="1" applyFill="1" applyBorder="1" applyAlignment="1">
      <alignment horizontal="left" vertical="center" indent="1"/>
    </xf>
    <xf numFmtId="49" fontId="85" fillId="0" borderId="38" xfId="0" applyNumberFormat="1" applyFont="1" applyFill="1" applyBorder="1" applyAlignment="1">
      <alignment horizontal="left" vertical="center" indent="1"/>
    </xf>
    <xf numFmtId="170" fontId="85" fillId="0" borderId="27" xfId="0" applyNumberFormat="1" applyFont="1" applyFill="1" applyBorder="1" applyAlignment="1">
      <alignment horizontal="left" vertical="center" indent="1"/>
    </xf>
    <xf numFmtId="0" fontId="85" fillId="0" borderId="61" xfId="0" applyFont="1" applyFill="1" applyBorder="1" applyAlignment="1">
      <alignment vertical="center"/>
    </xf>
    <xf numFmtId="49" fontId="85" fillId="0" borderId="53" xfId="0" applyNumberFormat="1" applyFont="1" applyFill="1" applyBorder="1" applyAlignment="1">
      <alignment horizontal="center" vertical="center"/>
    </xf>
    <xf numFmtId="170" fontId="85" fillId="0" borderId="58" xfId="0" applyNumberFormat="1" applyFont="1" applyFill="1" applyBorder="1" applyAlignment="1">
      <alignment vertical="center"/>
    </xf>
    <xf numFmtId="0" fontId="91" fillId="0" borderId="65" xfId="0" applyFont="1" applyFill="1" applyBorder="1" applyAlignment="1">
      <alignment vertical="center"/>
    </xf>
    <xf numFmtId="49" fontId="91" fillId="0" borderId="0" xfId="0" applyNumberFormat="1" applyFont="1" applyFill="1" applyBorder="1" applyAlignment="1">
      <alignment horizontal="center" vertical="center"/>
    </xf>
    <xf numFmtId="170" fontId="91" fillId="0" borderId="69" xfId="0" applyNumberFormat="1" applyFont="1" applyFill="1" applyBorder="1" applyAlignment="1">
      <alignment vertical="center"/>
    </xf>
    <xf numFmtId="0" fontId="85" fillId="0" borderId="54" xfId="0" applyFont="1" applyFill="1" applyBorder="1" applyAlignment="1">
      <alignment vertical="center"/>
    </xf>
    <xf numFmtId="49" fontId="85" fillId="0" borderId="63" xfId="0" applyNumberFormat="1" applyFont="1" applyFill="1" applyBorder="1" applyAlignment="1">
      <alignment horizontal="center" vertical="center"/>
    </xf>
    <xf numFmtId="170" fontId="85" fillId="0" borderId="59" xfId="0" applyNumberFormat="1" applyFont="1" applyFill="1" applyBorder="1" applyAlignment="1">
      <alignment vertical="center"/>
    </xf>
    <xf numFmtId="0" fontId="85" fillId="0" borderId="65" xfId="0" applyFont="1" applyFill="1" applyBorder="1" applyAlignment="1">
      <alignment vertical="center"/>
    </xf>
    <xf numFmtId="49" fontId="85" fillId="0" borderId="0" xfId="0" applyNumberFormat="1" applyFont="1" applyFill="1" applyBorder="1" applyAlignment="1">
      <alignment horizontal="center" vertical="center"/>
    </xf>
    <xf numFmtId="170" fontId="85" fillId="0" borderId="69" xfId="0" applyNumberFormat="1" applyFont="1" applyFill="1" applyBorder="1" applyAlignment="1">
      <alignment vertical="center"/>
    </xf>
    <xf numFmtId="0" fontId="85" fillId="0" borderId="56" xfId="0" applyFont="1" applyFill="1" applyBorder="1" applyAlignment="1">
      <alignment vertical="center"/>
    </xf>
    <xf numFmtId="49" fontId="85" fillId="0" borderId="64" xfId="0" applyNumberFormat="1" applyFont="1" applyFill="1" applyBorder="1" applyAlignment="1">
      <alignment horizontal="center" vertical="center"/>
    </xf>
    <xf numFmtId="170" fontId="85" fillId="0" borderId="60" xfId="0" applyNumberFormat="1" applyFont="1" applyFill="1" applyBorder="1" applyAlignment="1">
      <alignment vertical="center"/>
    </xf>
    <xf numFmtId="0" fontId="99" fillId="0" borderId="24" xfId="0" applyFont="1" applyFill="1" applyBorder="1" applyAlignment="1">
      <alignment horizontal="left" vertical="center" indent="1"/>
    </xf>
    <xf numFmtId="49" fontId="99" fillId="0" borderId="25" xfId="0" applyNumberFormat="1" applyFont="1" applyFill="1" applyBorder="1" applyAlignment="1">
      <alignment horizontal="left" vertical="center" indent="1"/>
    </xf>
    <xf numFmtId="170" fontId="99" fillId="0" borderId="21" xfId="0" applyNumberFormat="1" applyFont="1" applyFill="1" applyBorder="1" applyAlignment="1">
      <alignment horizontal="left" vertical="center" indent="1"/>
    </xf>
    <xf numFmtId="0" fontId="99" fillId="0" borderId="71" xfId="0" applyFont="1" applyFill="1" applyBorder="1" applyAlignment="1">
      <alignment horizontal="left" vertical="center" indent="1"/>
    </xf>
    <xf numFmtId="49" fontId="99" fillId="0" borderId="38" xfId="0" applyNumberFormat="1" applyFont="1" applyFill="1" applyBorder="1" applyAlignment="1">
      <alignment horizontal="left" vertical="center" indent="1"/>
    </xf>
    <xf numFmtId="170" fontId="99" fillId="0" borderId="27" xfId="0" applyNumberFormat="1" applyFont="1" applyFill="1" applyBorder="1" applyAlignment="1">
      <alignment horizontal="left" vertical="center" indent="1"/>
    </xf>
    <xf numFmtId="0" fontId="85" fillId="0" borderId="61" xfId="3" applyFont="1" applyFill="1" applyBorder="1" applyAlignment="1">
      <alignment horizontal="left" vertical="center" indent="1"/>
    </xf>
    <xf numFmtId="168" fontId="91" fillId="0" borderId="27" xfId="2" applyNumberFormat="1" applyFont="1" applyFill="1" applyBorder="1" applyAlignment="1">
      <alignment horizontal="right" vertical="center"/>
    </xf>
    <xf numFmtId="170" fontId="85" fillId="0" borderId="66" xfId="0" applyNumberFormat="1" applyFont="1" applyFill="1" applyBorder="1" applyAlignment="1">
      <alignment horizontal="right" vertical="center"/>
    </xf>
    <xf numFmtId="170" fontId="85" fillId="0" borderId="53" xfId="2" applyNumberFormat="1" applyFont="1" applyFill="1" applyBorder="1" applyAlignment="1">
      <alignment horizontal="center" vertical="center" wrapText="1"/>
    </xf>
    <xf numFmtId="0" fontId="91" fillId="0" borderId="73" xfId="3" applyFont="1" applyFill="1" applyBorder="1" applyAlignment="1">
      <alignment horizontal="center" vertical="center"/>
    </xf>
    <xf numFmtId="0" fontId="91" fillId="0" borderId="72" xfId="3" applyFont="1" applyFill="1" applyBorder="1" applyAlignment="1">
      <alignment horizontal="left" vertical="center" indent="1"/>
    </xf>
    <xf numFmtId="0" fontId="85" fillId="0" borderId="72" xfId="3" applyFont="1" applyFill="1" applyBorder="1" applyAlignment="1">
      <alignment horizontal="left" vertical="center" indent="1"/>
    </xf>
    <xf numFmtId="170" fontId="91" fillId="0" borderId="70" xfId="23" applyNumberFormat="1" applyFont="1" applyFill="1" applyBorder="1" applyAlignment="1">
      <alignment horizontal="right" vertical="center"/>
    </xf>
    <xf numFmtId="0" fontId="85" fillId="0" borderId="62" xfId="10" applyFont="1" applyFill="1" applyBorder="1" applyAlignment="1">
      <alignment horizontal="center" vertical="center" wrapText="1"/>
    </xf>
    <xf numFmtId="0" fontId="85" fillId="0" borderId="74" xfId="10" applyFont="1" applyFill="1" applyBorder="1" applyAlignment="1">
      <alignment horizontal="center" vertical="center" wrapText="1"/>
    </xf>
    <xf numFmtId="0" fontId="85" fillId="0" borderId="75" xfId="10" applyFont="1" applyFill="1" applyBorder="1" applyAlignment="1">
      <alignment horizontal="center" vertical="center" wrapText="1"/>
    </xf>
    <xf numFmtId="168" fontId="85" fillId="0" borderId="53" xfId="2" applyNumberFormat="1" applyFont="1" applyFill="1" applyBorder="1" applyAlignment="1">
      <alignment horizontal="center" vertical="center" wrapText="1"/>
    </xf>
    <xf numFmtId="164" fontId="85" fillId="0" borderId="66" xfId="0" applyNumberFormat="1" applyFont="1" applyFill="1" applyBorder="1" applyAlignment="1">
      <alignment horizontal="right" vertical="center"/>
    </xf>
    <xf numFmtId="0" fontId="95" fillId="0" borderId="58" xfId="10" applyFont="1" applyFill="1" applyBorder="1" applyAlignment="1">
      <alignment horizontal="center" vertical="center" wrapText="1"/>
    </xf>
    <xf numFmtId="0" fontId="85" fillId="0" borderId="74" xfId="0" applyFont="1" applyFill="1" applyBorder="1" applyAlignment="1">
      <alignment horizontal="center" vertical="center" wrapText="1"/>
    </xf>
    <xf numFmtId="0" fontId="85" fillId="0" borderId="75" xfId="0" applyFont="1" applyFill="1" applyBorder="1" applyAlignment="1">
      <alignment horizontal="center" vertical="center" wrapText="1"/>
    </xf>
    <xf numFmtId="0" fontId="91" fillId="0" borderId="0" xfId="0" applyFont="1" applyFill="1" applyAlignment="1">
      <alignment horizontal="left" vertical="center"/>
    </xf>
    <xf numFmtId="0" fontId="85" fillId="15" borderId="62" xfId="0" applyFont="1" applyFill="1" applyBorder="1" applyAlignment="1">
      <alignment horizontal="center" vertical="center" wrapText="1"/>
    </xf>
    <xf numFmtId="170" fontId="91" fillId="9" borderId="0" xfId="0" applyNumberFormat="1" applyFont="1" applyFill="1" applyAlignment="1">
      <alignment vertical="center"/>
    </xf>
    <xf numFmtId="0" fontId="103" fillId="0" borderId="74" xfId="10" applyFont="1" applyFill="1" applyBorder="1" applyAlignment="1">
      <alignment horizontal="center" vertical="center" wrapText="1"/>
    </xf>
    <xf numFmtId="0" fontId="103" fillId="0" borderId="58" xfId="10" applyFont="1" applyFill="1" applyBorder="1" applyAlignment="1">
      <alignment horizontal="center" vertical="center" wrapText="1"/>
    </xf>
    <xf numFmtId="0" fontId="103" fillId="0" borderId="75" xfId="10" applyFont="1" applyFill="1" applyBorder="1" applyAlignment="1">
      <alignment horizontal="center" vertical="center" wrapText="1"/>
    </xf>
    <xf numFmtId="0" fontId="104" fillId="0" borderId="29" xfId="10" applyFont="1" applyFill="1" applyBorder="1" applyAlignment="1">
      <alignment horizontal="left" vertical="center" indent="1"/>
    </xf>
    <xf numFmtId="170" fontId="104" fillId="0" borderId="29" xfId="23" applyNumberFormat="1" applyFont="1" applyFill="1" applyBorder="1" applyAlignment="1">
      <alignment horizontal="right" vertical="center"/>
    </xf>
    <xf numFmtId="168" fontId="104" fillId="0" borderId="29" xfId="2" applyNumberFormat="1" applyFont="1" applyFill="1" applyBorder="1" applyAlignment="1">
      <alignment horizontal="right" vertical="center"/>
    </xf>
    <xf numFmtId="0" fontId="104" fillId="0" borderId="27" xfId="10" applyFont="1" applyFill="1" applyBorder="1" applyAlignment="1">
      <alignment horizontal="left" vertical="center" indent="1"/>
    </xf>
    <xf numFmtId="170" fontId="104" fillId="0" borderId="27" xfId="23" applyNumberFormat="1" applyFont="1" applyFill="1" applyBorder="1" applyAlignment="1">
      <alignment horizontal="right" vertical="center"/>
    </xf>
    <xf numFmtId="168" fontId="104" fillId="0" borderId="27" xfId="2" applyNumberFormat="1" applyFont="1" applyFill="1" applyBorder="1" applyAlignment="1">
      <alignment horizontal="right" vertical="center"/>
    </xf>
    <xf numFmtId="170" fontId="103" fillId="0" borderId="66" xfId="0" applyNumberFormat="1" applyFont="1" applyFill="1" applyBorder="1" applyAlignment="1">
      <alignment horizontal="right" vertical="center"/>
    </xf>
    <xf numFmtId="0" fontId="105" fillId="0" borderId="58" xfId="10" applyFont="1" applyFill="1" applyBorder="1" applyAlignment="1">
      <alignment horizontal="center" vertical="center" wrapText="1"/>
    </xf>
    <xf numFmtId="0" fontId="104" fillId="0" borderId="21" xfId="10" applyFont="1" applyFill="1" applyBorder="1" applyAlignment="1">
      <alignment horizontal="left" vertical="center" indent="1"/>
    </xf>
    <xf numFmtId="170" fontId="104" fillId="0" borderId="21" xfId="23" applyNumberFormat="1" applyFont="1" applyFill="1" applyBorder="1" applyAlignment="1">
      <alignment horizontal="right" vertical="center"/>
    </xf>
    <xf numFmtId="168" fontId="104" fillId="0" borderId="21" xfId="2" applyNumberFormat="1" applyFont="1" applyFill="1" applyBorder="1" applyAlignment="1">
      <alignment horizontal="right" vertical="center"/>
    </xf>
    <xf numFmtId="0" fontId="103" fillId="0" borderId="53" xfId="0" applyFont="1" applyFill="1" applyBorder="1" applyAlignment="1">
      <alignment horizontal="left" vertical="center" wrapText="1"/>
    </xf>
    <xf numFmtId="170" fontId="103" fillId="0" borderId="53" xfId="2" applyNumberFormat="1" applyFont="1" applyFill="1" applyBorder="1" applyAlignment="1">
      <alignment horizontal="center" vertical="center" wrapText="1"/>
    </xf>
    <xf numFmtId="173" fontId="104" fillId="9" borderId="21" xfId="23" applyNumberFormat="1" applyFont="1" applyFill="1" applyBorder="1" applyAlignment="1">
      <alignment horizontal="right" vertical="center"/>
    </xf>
    <xf numFmtId="170" fontId="91" fillId="0" borderId="63" xfId="0" applyNumberFormat="1" applyFont="1" applyFill="1" applyBorder="1" applyAlignment="1">
      <alignment horizontal="left"/>
    </xf>
    <xf numFmtId="0" fontId="85" fillId="15" borderId="61" xfId="3" applyFont="1" applyFill="1" applyBorder="1" applyAlignment="1">
      <alignment horizontal="left" vertical="center" indent="1"/>
    </xf>
    <xf numFmtId="0" fontId="91" fillId="0" borderId="0" xfId="0" applyFont="1" applyFill="1" applyAlignment="1">
      <alignment horizontal="left" vertical="center"/>
    </xf>
    <xf numFmtId="170" fontId="100" fillId="0" borderId="26" xfId="8" applyNumberFormat="1" applyFont="1" applyFill="1" applyBorder="1" applyAlignment="1">
      <alignment horizontal="center" vertical="center"/>
    </xf>
    <xf numFmtId="0" fontId="107" fillId="0" borderId="76" xfId="25" applyFont="1" applyFill="1" applyBorder="1" applyAlignment="1">
      <alignment horizontal="right" vertical="center"/>
    </xf>
    <xf numFmtId="170" fontId="107" fillId="0" borderId="77" xfId="25" quotePrefix="1" applyNumberFormat="1" applyFont="1" applyFill="1" applyBorder="1" applyAlignment="1">
      <alignment vertical="center"/>
    </xf>
    <xf numFmtId="170" fontId="107" fillId="0" borderId="78" xfId="25" quotePrefix="1" applyNumberFormat="1" applyFont="1" applyFill="1" applyBorder="1" applyAlignment="1">
      <alignment vertical="center"/>
    </xf>
    <xf numFmtId="166" fontId="91" fillId="0" borderId="0" xfId="0" applyNumberFormat="1" applyFont="1" applyBorder="1"/>
    <xf numFmtId="0" fontId="91" fillId="0" borderId="0" xfId="0" applyFont="1" applyFill="1" applyAlignment="1">
      <alignment horizontal="left" vertical="center"/>
    </xf>
    <xf numFmtId="43" fontId="91" fillId="0" borderId="0" xfId="2" applyFont="1" applyFill="1" applyBorder="1"/>
    <xf numFmtId="166" fontId="91" fillId="0" borderId="0" xfId="0" applyNumberFormat="1" applyFont="1" applyFill="1" applyBorder="1"/>
    <xf numFmtId="170" fontId="91" fillId="0" borderId="63" xfId="0" applyNumberFormat="1" applyFont="1" applyFill="1" applyBorder="1" applyAlignment="1">
      <alignment horizontal="center"/>
    </xf>
    <xf numFmtId="0" fontId="107" fillId="0" borderId="59" xfId="25" applyFont="1" applyFill="1" applyBorder="1" applyAlignment="1">
      <alignment horizontal="center" vertical="center" wrapText="1"/>
    </xf>
    <xf numFmtId="0" fontId="91" fillId="0" borderId="0" xfId="0" applyFont="1" applyFill="1" applyAlignment="1">
      <alignment horizontal="left" vertical="center"/>
    </xf>
    <xf numFmtId="0" fontId="108" fillId="0" borderId="0" xfId="902" applyFont="1" applyAlignment="1">
      <alignment horizontal="center" vertical="center"/>
    </xf>
    <xf numFmtId="0" fontId="108" fillId="0" borderId="0" xfId="902" applyFont="1" applyAlignment="1">
      <alignment vertical="center"/>
    </xf>
    <xf numFmtId="0" fontId="21" fillId="0" borderId="0" xfId="21" applyFont="1" applyFill="1" applyAlignment="1">
      <alignment vertical="center"/>
    </xf>
    <xf numFmtId="0" fontId="109" fillId="0" borderId="0" xfId="21" applyFont="1" applyFill="1" applyAlignment="1">
      <alignment horizontal="center" vertical="center"/>
    </xf>
    <xf numFmtId="0" fontId="108" fillId="0" borderId="21" xfId="902" applyFont="1" applyBorder="1" applyAlignment="1">
      <alignment vertical="center"/>
    </xf>
    <xf numFmtId="0" fontId="110" fillId="0" borderId="21" xfId="902" applyFont="1" applyBorder="1" applyAlignment="1">
      <alignment vertical="center"/>
    </xf>
    <xf numFmtId="0" fontId="110" fillId="0" borderId="0" xfId="902" applyFont="1" applyAlignment="1">
      <alignment vertical="center"/>
    </xf>
    <xf numFmtId="0" fontId="110" fillId="0" borderId="21" xfId="902" applyFont="1" applyFill="1" applyBorder="1" applyAlignment="1">
      <alignment vertical="center"/>
    </xf>
    <xf numFmtId="0" fontId="108" fillId="0" borderId="21" xfId="902" applyFont="1" applyFill="1" applyBorder="1" applyAlignment="1">
      <alignment vertical="center"/>
    </xf>
    <xf numFmtId="0" fontId="103" fillId="0" borderId="76" xfId="25" applyFont="1" applyFill="1" applyBorder="1" applyAlignment="1">
      <alignment horizontal="right" vertical="center"/>
    </xf>
    <xf numFmtId="170" fontId="103" fillId="0" borderId="77" xfId="25" quotePrefix="1" applyNumberFormat="1" applyFont="1" applyFill="1" applyBorder="1" applyAlignment="1">
      <alignment vertical="center"/>
    </xf>
    <xf numFmtId="170" fontId="103" fillId="0" borderId="78" xfId="25" applyNumberFormat="1" applyFont="1" applyFill="1" applyBorder="1" applyAlignment="1">
      <alignment vertical="center"/>
    </xf>
    <xf numFmtId="0" fontId="104" fillId="0" borderId="24" xfId="902" applyFont="1" applyFill="1" applyBorder="1" applyAlignment="1">
      <alignment vertical="center"/>
    </xf>
    <xf numFmtId="0" fontId="104" fillId="0" borderId="25" xfId="902" applyFont="1" applyFill="1" applyBorder="1" applyAlignment="1">
      <alignment vertical="center"/>
    </xf>
    <xf numFmtId="0" fontId="104" fillId="0" borderId="25" xfId="902" applyFont="1" applyFill="1" applyBorder="1" applyAlignment="1">
      <alignment horizontal="center" vertical="center"/>
    </xf>
    <xf numFmtId="170" fontId="104" fillId="0" borderId="25" xfId="902" applyNumberFormat="1" applyFont="1" applyFill="1" applyBorder="1" applyAlignment="1">
      <alignment vertical="center"/>
    </xf>
    <xf numFmtId="170" fontId="104" fillId="0" borderId="26" xfId="902" applyNumberFormat="1" applyFont="1" applyFill="1" applyBorder="1" applyAlignment="1">
      <alignment vertical="center"/>
    </xf>
    <xf numFmtId="0" fontId="104" fillId="0" borderId="25" xfId="902" applyFont="1" applyFill="1" applyBorder="1" applyAlignment="1">
      <alignment horizontal="left" vertical="center" indent="1"/>
    </xf>
    <xf numFmtId="0" fontId="104" fillId="0" borderId="25" xfId="902" applyFont="1" applyFill="1" applyBorder="1" applyAlignment="1">
      <alignment horizontal="left" vertical="center" indent="2"/>
    </xf>
    <xf numFmtId="0" fontId="104" fillId="0" borderId="21" xfId="902" applyFont="1" applyFill="1" applyBorder="1" applyAlignment="1">
      <alignment vertical="center"/>
    </xf>
    <xf numFmtId="0" fontId="104" fillId="0" borderId="21" xfId="902" applyFont="1" applyFill="1" applyBorder="1" applyAlignment="1">
      <alignment horizontal="center" vertical="center"/>
    </xf>
    <xf numFmtId="0" fontId="104" fillId="0" borderId="0" xfId="902" applyFont="1" applyFill="1" applyBorder="1" applyAlignment="1"/>
    <xf numFmtId="0" fontId="104" fillId="0" borderId="0" xfId="902" applyFont="1" applyFill="1" applyAlignment="1">
      <alignment vertical="center"/>
    </xf>
    <xf numFmtId="0" fontId="104" fillId="0" borderId="0" xfId="902" applyFont="1" applyFill="1" applyAlignment="1">
      <alignment horizontal="center" vertical="center"/>
    </xf>
    <xf numFmtId="49" fontId="85" fillId="15" borderId="25" xfId="0" applyNumberFormat="1" applyFont="1" applyFill="1" applyBorder="1" applyAlignment="1">
      <alignment horizontal="left" vertical="center" indent="1"/>
    </xf>
    <xf numFmtId="49" fontId="91" fillId="15" borderId="25" xfId="0" applyNumberFormat="1" applyFont="1" applyFill="1" applyBorder="1" applyAlignment="1">
      <alignment horizontal="left" vertical="center" indent="2"/>
    </xf>
    <xf numFmtId="49" fontId="91" fillId="15" borderId="25" xfId="0" applyNumberFormat="1" applyFont="1" applyFill="1" applyBorder="1" applyAlignment="1">
      <alignment horizontal="left" vertical="center" indent="3"/>
    </xf>
    <xf numFmtId="49" fontId="99" fillId="15" borderId="25" xfId="0" applyNumberFormat="1" applyFont="1" applyFill="1" applyBorder="1" applyAlignment="1">
      <alignment horizontal="left" vertical="center" indent="1"/>
    </xf>
    <xf numFmtId="49" fontId="85" fillId="15" borderId="79" xfId="0" applyNumberFormat="1" applyFont="1" applyFill="1" applyBorder="1" applyAlignment="1">
      <alignment horizontal="left" vertical="center"/>
    </xf>
    <xf numFmtId="49" fontId="85" fillId="15" borderId="25" xfId="0" applyNumberFormat="1" applyFont="1" applyFill="1" applyBorder="1" applyAlignment="1">
      <alignment horizontal="left" vertical="center"/>
    </xf>
    <xf numFmtId="49" fontId="91" fillId="15" borderId="25" xfId="0" applyNumberFormat="1" applyFont="1" applyFill="1" applyBorder="1" applyAlignment="1">
      <alignment horizontal="left" vertical="center"/>
    </xf>
    <xf numFmtId="49" fontId="85" fillId="15" borderId="72" xfId="0" applyNumberFormat="1" applyFont="1" applyFill="1" applyBorder="1" applyAlignment="1">
      <alignment horizontal="left" vertical="center"/>
    </xf>
    <xf numFmtId="0" fontId="91" fillId="0" borderId="0" xfId="0" applyFont="1" applyFill="1" applyBorder="1" applyAlignment="1">
      <alignment horizontal="left"/>
    </xf>
    <xf numFmtId="0" fontId="86" fillId="0" borderId="0" xfId="0" applyFont="1" applyBorder="1" applyAlignment="1">
      <alignment horizontal="left"/>
    </xf>
    <xf numFmtId="0" fontId="88" fillId="14" borderId="25" xfId="3" applyFont="1" applyFill="1" applyBorder="1" applyAlignment="1">
      <alignment horizontal="left" vertical="center"/>
    </xf>
    <xf numFmtId="170" fontId="87" fillId="0" borderId="52" xfId="0" applyNumberFormat="1" applyFont="1" applyBorder="1" applyAlignment="1">
      <alignment horizontal="left" vertical="center"/>
    </xf>
    <xf numFmtId="170" fontId="87" fillId="0" borderId="0" xfId="0" applyNumberFormat="1" applyFont="1" applyAlignment="1">
      <alignment horizontal="left" vertical="center"/>
    </xf>
    <xf numFmtId="170" fontId="91" fillId="0" borderId="0" xfId="0" applyNumberFormat="1" applyFont="1" applyFill="1" applyAlignment="1">
      <alignment horizontal="center"/>
    </xf>
    <xf numFmtId="43" fontId="103" fillId="0" borderId="66" xfId="2" applyFont="1" applyFill="1" applyBorder="1" applyAlignment="1">
      <alignment horizontal="right" vertical="center"/>
    </xf>
    <xf numFmtId="43" fontId="104" fillId="0" borderId="29" xfId="2" applyFont="1" applyFill="1" applyBorder="1" applyAlignment="1">
      <alignment horizontal="right" vertical="center"/>
    </xf>
    <xf numFmtId="0" fontId="91" fillId="15" borderId="24" xfId="3" applyFont="1" applyFill="1" applyBorder="1" applyAlignment="1">
      <alignment horizontal="left" vertical="center"/>
    </xf>
    <xf numFmtId="172" fontId="103" fillId="0" borderId="77" xfId="25" applyNumberFormat="1" applyFont="1" applyFill="1" applyBorder="1" applyAlignment="1">
      <alignment vertical="center"/>
    </xf>
    <xf numFmtId="171" fontId="103" fillId="0" borderId="77" xfId="25" applyNumberFormat="1" applyFont="1" applyFill="1" applyBorder="1" applyAlignment="1">
      <alignment vertical="center"/>
    </xf>
    <xf numFmtId="171" fontId="107" fillId="0" borderId="77" xfId="25" applyNumberFormat="1" applyFont="1" applyFill="1" applyBorder="1" applyAlignment="1">
      <alignment vertical="center"/>
    </xf>
    <xf numFmtId="0" fontId="107" fillId="0" borderId="61" xfId="25" applyFont="1" applyFill="1" applyBorder="1" applyAlignment="1">
      <alignment vertical="center" wrapText="1"/>
    </xf>
    <xf numFmtId="0" fontId="107" fillId="0" borderId="53" xfId="25" applyFont="1" applyFill="1" applyBorder="1" applyAlignment="1">
      <alignment vertical="center" wrapText="1"/>
    </xf>
    <xf numFmtId="0" fontId="107" fillId="0" borderId="53" xfId="25" applyFont="1" applyFill="1" applyBorder="1" applyAlignment="1">
      <alignment vertical="center"/>
    </xf>
    <xf numFmtId="0" fontId="34" fillId="4" borderId="11" xfId="0" applyFont="1" applyFill="1" applyBorder="1" applyAlignment="1">
      <alignment horizontal="center" vertical="center"/>
    </xf>
    <xf numFmtId="14" fontId="85" fillId="0" borderId="59" xfId="5" quotePrefix="1" applyNumberFormat="1" applyFont="1" applyFill="1" applyBorder="1" applyAlignment="1">
      <alignment horizontal="center" vertical="center"/>
    </xf>
    <xf numFmtId="14" fontId="85" fillId="0" borderId="60" xfId="5" quotePrefix="1" applyNumberFormat="1" applyFont="1" applyFill="1" applyBorder="1" applyAlignment="1">
      <alignment horizontal="center" vertical="center"/>
    </xf>
    <xf numFmtId="0" fontId="85" fillId="0" borderId="54" xfId="0" applyFont="1" applyFill="1" applyBorder="1" applyAlignment="1">
      <alignment horizontal="center" vertical="center"/>
    </xf>
    <xf numFmtId="0" fontId="85" fillId="0" borderId="55" xfId="0" applyFont="1" applyFill="1" applyBorder="1" applyAlignment="1">
      <alignment horizontal="center" vertical="center"/>
    </xf>
    <xf numFmtId="0" fontId="85" fillId="0" borderId="56" xfId="0" applyFont="1" applyFill="1" applyBorder="1" applyAlignment="1">
      <alignment horizontal="center" vertical="center"/>
    </xf>
    <xf numFmtId="0" fontId="85" fillId="0" borderId="57" xfId="0" applyFont="1" applyFill="1" applyBorder="1" applyAlignment="1">
      <alignment horizontal="center" vertical="center"/>
    </xf>
    <xf numFmtId="0" fontId="85" fillId="0" borderId="59" xfId="5" quotePrefix="1" applyNumberFormat="1" applyFont="1" applyFill="1" applyBorder="1" applyAlignment="1">
      <alignment horizontal="center" vertical="center"/>
    </xf>
    <xf numFmtId="0" fontId="85" fillId="0" borderId="60" xfId="5" quotePrefix="1" applyNumberFormat="1" applyFont="1" applyFill="1" applyBorder="1" applyAlignment="1">
      <alignment horizontal="center" vertical="center"/>
    </xf>
    <xf numFmtId="164" fontId="85" fillId="0" borderId="54" xfId="0" applyNumberFormat="1" applyFont="1" applyFill="1" applyBorder="1" applyAlignment="1">
      <alignment horizontal="center" vertical="center"/>
    </xf>
    <xf numFmtId="164" fontId="85" fillId="0" borderId="55" xfId="0" applyNumberFormat="1" applyFont="1" applyFill="1" applyBorder="1" applyAlignment="1">
      <alignment horizontal="center" vertical="center"/>
    </xf>
    <xf numFmtId="164" fontId="85" fillId="0" borderId="56" xfId="0" applyNumberFormat="1" applyFont="1" applyFill="1" applyBorder="1" applyAlignment="1">
      <alignment horizontal="center" vertical="center"/>
    </xf>
    <xf numFmtId="164" fontId="85" fillId="0" borderId="57" xfId="0" applyNumberFormat="1" applyFont="1" applyFill="1" applyBorder="1" applyAlignment="1">
      <alignment horizontal="center" vertical="center"/>
    </xf>
    <xf numFmtId="168" fontId="36" fillId="13" borderId="8" xfId="4" quotePrefix="1" applyNumberFormat="1" applyFont="1" applyFill="1" applyBorder="1" applyAlignment="1"/>
    <xf numFmtId="168" fontId="36" fillId="13" borderId="23" xfId="4" quotePrefix="1" applyNumberFormat="1" applyFont="1" applyFill="1" applyBorder="1" applyAlignment="1"/>
    <xf numFmtId="17" fontId="55" fillId="10" borderId="22" xfId="0" quotePrefix="1" applyNumberFormat="1" applyFont="1" applyFill="1" applyBorder="1" applyAlignment="1">
      <alignment horizontal="center"/>
    </xf>
    <xf numFmtId="17" fontId="55" fillId="10" borderId="13" xfId="0" quotePrefix="1" applyNumberFormat="1" applyFont="1" applyFill="1" applyBorder="1" applyAlignment="1">
      <alignment horizontal="center"/>
    </xf>
    <xf numFmtId="0" fontId="107" fillId="0" borderId="54" xfId="25" applyFont="1" applyFill="1" applyBorder="1" applyAlignment="1">
      <alignment horizontal="center" vertical="center" wrapText="1"/>
    </xf>
    <xf numFmtId="0" fontId="107" fillId="0" borderId="63" xfId="25" applyFont="1" applyFill="1" applyBorder="1" applyAlignment="1">
      <alignment horizontal="center" vertical="center" wrapText="1"/>
    </xf>
    <xf numFmtId="0" fontId="107" fillId="0" borderId="55" xfId="25" applyFont="1" applyFill="1" applyBorder="1" applyAlignment="1">
      <alignment horizontal="center" vertical="center" wrapText="1"/>
    </xf>
    <xf numFmtId="0" fontId="107" fillId="0" borderId="82" xfId="25" applyFont="1" applyFill="1" applyBorder="1" applyAlignment="1">
      <alignment horizontal="center" vertical="center" wrapText="1"/>
    </xf>
    <xf numFmtId="0" fontId="107" fillId="0" borderId="83" xfId="25" applyFont="1" applyFill="1" applyBorder="1" applyAlignment="1">
      <alignment horizontal="center" vertical="center" wrapText="1"/>
    </xf>
    <xf numFmtId="0" fontId="107" fillId="0" borderId="84" xfId="25" applyFont="1" applyFill="1" applyBorder="1" applyAlignment="1">
      <alignment horizontal="center" vertical="center" wrapText="1"/>
    </xf>
    <xf numFmtId="0" fontId="107" fillId="0" borderId="58" xfId="25" applyFont="1" applyFill="1" applyBorder="1" applyAlignment="1">
      <alignment horizontal="center" vertical="center" wrapText="1"/>
    </xf>
    <xf numFmtId="0" fontId="107" fillId="0" borderId="59" xfId="25" applyFont="1" applyFill="1" applyBorder="1" applyAlignment="1">
      <alignment horizontal="center" vertical="center" wrapText="1"/>
    </xf>
    <xf numFmtId="164" fontId="85" fillId="0" borderId="63" xfId="0" applyNumberFormat="1" applyFont="1" applyFill="1" applyBorder="1" applyAlignment="1">
      <alignment horizontal="center" vertical="center"/>
    </xf>
    <xf numFmtId="164" fontId="85" fillId="0" borderId="64" xfId="0" applyNumberFormat="1" applyFont="1" applyFill="1" applyBorder="1" applyAlignment="1">
      <alignment horizontal="center" vertical="center"/>
    </xf>
    <xf numFmtId="0" fontId="85" fillId="0" borderId="54" xfId="20" applyFont="1" applyFill="1" applyBorder="1" applyAlignment="1">
      <alignment horizontal="center" vertical="center"/>
    </xf>
    <xf numFmtId="0" fontId="85" fillId="0" borderId="63" xfId="20" applyFont="1" applyFill="1" applyBorder="1" applyAlignment="1">
      <alignment horizontal="center" vertical="center"/>
    </xf>
    <xf numFmtId="0" fontId="85" fillId="0" borderId="55" xfId="20" applyFont="1" applyFill="1" applyBorder="1" applyAlignment="1">
      <alignment horizontal="center" vertical="center"/>
    </xf>
    <xf numFmtId="0" fontId="85" fillId="0" borderId="56" xfId="20" applyFont="1" applyFill="1" applyBorder="1" applyAlignment="1">
      <alignment horizontal="center" vertical="center"/>
    </xf>
    <xf numFmtId="0" fontId="85" fillId="0" borderId="64" xfId="20" applyFont="1" applyFill="1" applyBorder="1" applyAlignment="1">
      <alignment horizontal="center" vertical="center"/>
    </xf>
    <xf numFmtId="0" fontId="85" fillId="0" borderId="57" xfId="20" applyFont="1" applyFill="1" applyBorder="1" applyAlignment="1">
      <alignment horizontal="center" vertical="center"/>
    </xf>
    <xf numFmtId="14" fontId="103" fillId="0" borderId="67" xfId="0" quotePrefix="1" applyNumberFormat="1" applyFont="1" applyFill="1" applyBorder="1" applyAlignment="1">
      <alignment horizontal="center" vertical="center" wrapText="1"/>
    </xf>
    <xf numFmtId="0" fontId="103" fillId="0" borderId="53" xfId="0" applyFont="1" applyFill="1" applyBorder="1" applyAlignment="1">
      <alignment horizontal="center" vertical="center" wrapText="1"/>
    </xf>
    <xf numFmtId="0" fontId="103" fillId="0" borderId="68" xfId="0" applyFont="1" applyFill="1" applyBorder="1" applyAlignment="1">
      <alignment horizontal="center" vertical="center" wrapText="1"/>
    </xf>
    <xf numFmtId="0" fontId="103" fillId="0" borderId="80" xfId="10" applyFont="1" applyFill="1" applyBorder="1" applyAlignment="1">
      <alignment horizontal="center" vertical="center" wrapText="1"/>
    </xf>
    <xf numFmtId="0" fontId="103" fillId="0" borderId="81" xfId="10" applyFont="1" applyFill="1" applyBorder="1" applyAlignment="1">
      <alignment horizontal="center" vertical="center" wrapText="1"/>
    </xf>
    <xf numFmtId="0" fontId="85" fillId="0" borderId="67" xfId="0" applyFont="1" applyFill="1" applyBorder="1" applyAlignment="1">
      <alignment horizontal="center" vertical="center" wrapText="1"/>
    </xf>
    <xf numFmtId="0" fontId="85" fillId="0" borderId="53" xfId="0" applyFont="1" applyFill="1" applyBorder="1" applyAlignment="1">
      <alignment horizontal="center" vertical="center" wrapText="1"/>
    </xf>
    <xf numFmtId="0" fontId="85" fillId="0" borderId="68" xfId="0" applyFont="1" applyFill="1" applyBorder="1" applyAlignment="1">
      <alignment horizontal="center" vertical="center" wrapText="1"/>
    </xf>
    <xf numFmtId="14" fontId="85" fillId="0" borderId="67" xfId="0" quotePrefix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40" fillId="6" borderId="6" xfId="0" applyFont="1" applyFill="1" applyBorder="1" applyAlignment="1">
      <alignment horizontal="center"/>
    </xf>
  </cellXfs>
  <cellStyles count="905">
    <cellStyle name="Accent1 - 20%" xfId="27" xr:uid="{00000000-0005-0000-0000-000048000000}"/>
    <cellStyle name="Accent1 - 40%" xfId="28" xr:uid="{00000000-0005-0000-0000-000049000000}"/>
    <cellStyle name="Accent1 - 60%" xfId="29" xr:uid="{00000000-0005-0000-0000-00004A000000}"/>
    <cellStyle name="Accent2 - 20%" xfId="30" xr:uid="{00000000-0005-0000-0000-00004B000000}"/>
    <cellStyle name="Accent2 - 40%" xfId="31" xr:uid="{00000000-0005-0000-0000-00004C000000}"/>
    <cellStyle name="Accent2 - 60%" xfId="32" xr:uid="{00000000-0005-0000-0000-00004D000000}"/>
    <cellStyle name="Accent3 - 20%" xfId="33" xr:uid="{00000000-0005-0000-0000-00004E000000}"/>
    <cellStyle name="Accent3 - 40%" xfId="34" xr:uid="{00000000-0005-0000-0000-00004F000000}"/>
    <cellStyle name="Accent3 - 60%" xfId="35" xr:uid="{00000000-0005-0000-0000-000050000000}"/>
    <cellStyle name="Accent4 - 20%" xfId="36" xr:uid="{00000000-0005-0000-0000-000051000000}"/>
    <cellStyle name="Accent4 - 40%" xfId="37" xr:uid="{00000000-0005-0000-0000-000052000000}"/>
    <cellStyle name="Accent4 - 60%" xfId="38" xr:uid="{00000000-0005-0000-0000-000053000000}"/>
    <cellStyle name="Accent5 - 20%" xfId="39" xr:uid="{00000000-0005-0000-0000-000054000000}"/>
    <cellStyle name="Accent5 - 40%" xfId="40" xr:uid="{00000000-0005-0000-0000-000055000000}"/>
    <cellStyle name="Accent5 - 60%" xfId="41" xr:uid="{00000000-0005-0000-0000-000056000000}"/>
    <cellStyle name="Accent6 - 20%" xfId="42" xr:uid="{00000000-0005-0000-0000-000057000000}"/>
    <cellStyle name="Accent6 - 40%" xfId="43" xr:uid="{00000000-0005-0000-0000-000058000000}"/>
    <cellStyle name="Accent6 - 60%" xfId="44" xr:uid="{00000000-0005-0000-0000-000059000000}"/>
    <cellStyle name="Bom 2" xfId="45" xr:uid="{00000000-0005-0000-0000-00005A000000}"/>
    <cellStyle name="Bom 2 2" xfId="46" xr:uid="{00000000-0005-0000-0000-00005B000000}"/>
    <cellStyle name="Bom 2 3" xfId="47" xr:uid="{00000000-0005-0000-0000-00005C000000}"/>
    <cellStyle name="Bom 2 4" xfId="48" xr:uid="{00000000-0005-0000-0000-00005D000000}"/>
    <cellStyle name="Bom 2 5" xfId="49" xr:uid="{00000000-0005-0000-0000-00005E000000}"/>
    <cellStyle name="Bom 2 6" xfId="50" xr:uid="{00000000-0005-0000-0000-00005F000000}"/>
    <cellStyle name="Bom 3" xfId="51" xr:uid="{00000000-0005-0000-0000-000060000000}"/>
    <cellStyle name="Bom 3 2" xfId="52" xr:uid="{00000000-0005-0000-0000-000061000000}"/>
    <cellStyle name="Bom 3 3" xfId="53" xr:uid="{00000000-0005-0000-0000-000062000000}"/>
    <cellStyle name="Bom 3 4" xfId="54" xr:uid="{00000000-0005-0000-0000-000063000000}"/>
    <cellStyle name="Bom 3 5" xfId="55" xr:uid="{00000000-0005-0000-0000-000064000000}"/>
    <cellStyle name="Bom 3 6" xfId="56" xr:uid="{00000000-0005-0000-0000-000065000000}"/>
    <cellStyle name="Bom 4" xfId="57" xr:uid="{00000000-0005-0000-0000-000066000000}"/>
    <cellStyle name="Bom 4 2" xfId="58" xr:uid="{00000000-0005-0000-0000-000067000000}"/>
    <cellStyle name="Bom 4 3" xfId="59" xr:uid="{00000000-0005-0000-0000-000068000000}"/>
    <cellStyle name="Bom 4 4" xfId="60" xr:uid="{00000000-0005-0000-0000-000069000000}"/>
    <cellStyle name="Bom 4 5" xfId="61" xr:uid="{00000000-0005-0000-0000-00006A000000}"/>
    <cellStyle name="Bom 4 6" xfId="62" xr:uid="{00000000-0005-0000-0000-00006B000000}"/>
    <cellStyle name="Bom 5" xfId="63" xr:uid="{00000000-0005-0000-0000-00006C000000}"/>
    <cellStyle name="Bom 5 2" xfId="64" xr:uid="{00000000-0005-0000-0000-00006D000000}"/>
    <cellStyle name="Bom 5 3" xfId="65" xr:uid="{00000000-0005-0000-0000-00006E000000}"/>
    <cellStyle name="Bom 5 4" xfId="66" xr:uid="{00000000-0005-0000-0000-00006F000000}"/>
    <cellStyle name="Bom 5 5" xfId="67" xr:uid="{00000000-0005-0000-0000-000070000000}"/>
    <cellStyle name="Bom 5 6" xfId="68" xr:uid="{00000000-0005-0000-0000-000071000000}"/>
    <cellStyle name="Cálculo 2" xfId="69" xr:uid="{00000000-0005-0000-0000-000072000000}"/>
    <cellStyle name="Cálculo 2 2" xfId="70" xr:uid="{00000000-0005-0000-0000-000073000000}"/>
    <cellStyle name="Cálculo 2 3" xfId="71" xr:uid="{00000000-0005-0000-0000-000074000000}"/>
    <cellStyle name="Cálculo 2 4" xfId="72" xr:uid="{00000000-0005-0000-0000-000075000000}"/>
    <cellStyle name="Cálculo 2 5" xfId="73" xr:uid="{00000000-0005-0000-0000-000076000000}"/>
    <cellStyle name="Cálculo 2 6" xfId="74" xr:uid="{00000000-0005-0000-0000-000077000000}"/>
    <cellStyle name="Cálculo 3" xfId="75" xr:uid="{00000000-0005-0000-0000-000078000000}"/>
    <cellStyle name="Cálculo 3 2" xfId="76" xr:uid="{00000000-0005-0000-0000-000079000000}"/>
    <cellStyle name="Cálculo 3 3" xfId="77" xr:uid="{00000000-0005-0000-0000-00007A000000}"/>
    <cellStyle name="Cálculo 3 4" xfId="78" xr:uid="{00000000-0005-0000-0000-00007B000000}"/>
    <cellStyle name="Cálculo 3 5" xfId="79" xr:uid="{00000000-0005-0000-0000-00007C000000}"/>
    <cellStyle name="Cálculo 3 6" xfId="80" xr:uid="{00000000-0005-0000-0000-00007D000000}"/>
    <cellStyle name="Cálculo 4" xfId="81" xr:uid="{00000000-0005-0000-0000-00007E000000}"/>
    <cellStyle name="Cálculo 4 2" xfId="82" xr:uid="{00000000-0005-0000-0000-00007F000000}"/>
    <cellStyle name="Cálculo 4 3" xfId="83" xr:uid="{00000000-0005-0000-0000-000080000000}"/>
    <cellStyle name="Cálculo 4 4" xfId="84" xr:uid="{00000000-0005-0000-0000-000081000000}"/>
    <cellStyle name="Cálculo 4 5" xfId="85" xr:uid="{00000000-0005-0000-0000-000082000000}"/>
    <cellStyle name="Cálculo 4 6" xfId="86" xr:uid="{00000000-0005-0000-0000-000083000000}"/>
    <cellStyle name="Cálculo 5" xfId="87" xr:uid="{00000000-0005-0000-0000-000084000000}"/>
    <cellStyle name="Cálculo 5 2" xfId="88" xr:uid="{00000000-0005-0000-0000-000085000000}"/>
    <cellStyle name="Cálculo 5 3" xfId="89" xr:uid="{00000000-0005-0000-0000-000086000000}"/>
    <cellStyle name="Cálculo 5 4" xfId="90" xr:uid="{00000000-0005-0000-0000-000087000000}"/>
    <cellStyle name="Cálculo 5 5" xfId="91" xr:uid="{00000000-0005-0000-0000-000088000000}"/>
    <cellStyle name="Cálculo 5 6" xfId="92" xr:uid="{00000000-0005-0000-0000-000089000000}"/>
    <cellStyle name="Célula de Verificação 2" xfId="93" xr:uid="{00000000-0005-0000-0000-00008A000000}"/>
    <cellStyle name="Célula de Verificação 2 2" xfId="94" xr:uid="{00000000-0005-0000-0000-00008B000000}"/>
    <cellStyle name="Célula de Verificação 2 3" xfId="95" xr:uid="{00000000-0005-0000-0000-00008C000000}"/>
    <cellStyle name="Célula de Verificação 2 4" xfId="96" xr:uid="{00000000-0005-0000-0000-00008D000000}"/>
    <cellStyle name="Célula de Verificação 2 5" xfId="97" xr:uid="{00000000-0005-0000-0000-00008E000000}"/>
    <cellStyle name="Célula de Verificação 2 6" xfId="98" xr:uid="{00000000-0005-0000-0000-00008F000000}"/>
    <cellStyle name="Célula de Verificação 3" xfId="99" xr:uid="{00000000-0005-0000-0000-000090000000}"/>
    <cellStyle name="Célula de Verificação 3 2" xfId="100" xr:uid="{00000000-0005-0000-0000-000091000000}"/>
    <cellStyle name="Célula de Verificação 3 3" xfId="101" xr:uid="{00000000-0005-0000-0000-000092000000}"/>
    <cellStyle name="Célula de Verificação 3 4" xfId="102" xr:uid="{00000000-0005-0000-0000-000093000000}"/>
    <cellStyle name="Célula de Verificação 3 5" xfId="103" xr:uid="{00000000-0005-0000-0000-000094000000}"/>
    <cellStyle name="Célula de Verificação 3 6" xfId="104" xr:uid="{00000000-0005-0000-0000-000095000000}"/>
    <cellStyle name="Célula de Verificação 4" xfId="105" xr:uid="{00000000-0005-0000-0000-000096000000}"/>
    <cellStyle name="Célula de Verificação 4 2" xfId="106" xr:uid="{00000000-0005-0000-0000-000097000000}"/>
    <cellStyle name="Célula de Verificação 4 3" xfId="107" xr:uid="{00000000-0005-0000-0000-000098000000}"/>
    <cellStyle name="Célula de Verificação 4 4" xfId="108" xr:uid="{00000000-0005-0000-0000-000099000000}"/>
    <cellStyle name="Célula de Verificação 4 5" xfId="109" xr:uid="{00000000-0005-0000-0000-00009A000000}"/>
    <cellStyle name="Célula de Verificação 4 6" xfId="110" xr:uid="{00000000-0005-0000-0000-00009B000000}"/>
    <cellStyle name="Célula de Verificação 5" xfId="111" xr:uid="{00000000-0005-0000-0000-00009C000000}"/>
    <cellStyle name="Célula de Verificação 5 2" xfId="112" xr:uid="{00000000-0005-0000-0000-00009D000000}"/>
    <cellStyle name="Célula de Verificação 5 3" xfId="113" xr:uid="{00000000-0005-0000-0000-00009E000000}"/>
    <cellStyle name="Célula de Verificação 5 4" xfId="114" xr:uid="{00000000-0005-0000-0000-00009F000000}"/>
    <cellStyle name="Célula de Verificação 5 5" xfId="115" xr:uid="{00000000-0005-0000-0000-0000A0000000}"/>
    <cellStyle name="Célula de Verificação 5 6" xfId="116" xr:uid="{00000000-0005-0000-0000-0000A1000000}"/>
    <cellStyle name="Célula Vinculada 2" xfId="117" xr:uid="{00000000-0005-0000-0000-0000A2000000}"/>
    <cellStyle name="Célula Vinculada 2 2" xfId="118" xr:uid="{00000000-0005-0000-0000-0000A3000000}"/>
    <cellStyle name="Célula Vinculada 2 3" xfId="119" xr:uid="{00000000-0005-0000-0000-0000A4000000}"/>
    <cellStyle name="Célula Vinculada 2 4" xfId="120" xr:uid="{00000000-0005-0000-0000-0000A5000000}"/>
    <cellStyle name="Célula Vinculada 2 5" xfId="121" xr:uid="{00000000-0005-0000-0000-0000A6000000}"/>
    <cellStyle name="Célula Vinculada 2 6" xfId="122" xr:uid="{00000000-0005-0000-0000-0000A7000000}"/>
    <cellStyle name="Célula Vinculada 3" xfId="123" xr:uid="{00000000-0005-0000-0000-0000A8000000}"/>
    <cellStyle name="Célula Vinculada 3 2" xfId="124" xr:uid="{00000000-0005-0000-0000-0000A9000000}"/>
    <cellStyle name="Célula Vinculada 3 3" xfId="125" xr:uid="{00000000-0005-0000-0000-0000AA000000}"/>
    <cellStyle name="Célula Vinculada 3 4" xfId="126" xr:uid="{00000000-0005-0000-0000-0000AB000000}"/>
    <cellStyle name="Célula Vinculada 3 5" xfId="127" xr:uid="{00000000-0005-0000-0000-0000AC000000}"/>
    <cellStyle name="Célula Vinculada 3 6" xfId="128" xr:uid="{00000000-0005-0000-0000-0000AD000000}"/>
    <cellStyle name="Célula Vinculada 4" xfId="129" xr:uid="{00000000-0005-0000-0000-0000AE000000}"/>
    <cellStyle name="Célula Vinculada 4 2" xfId="130" xr:uid="{00000000-0005-0000-0000-0000AF000000}"/>
    <cellStyle name="Célula Vinculada 4 3" xfId="131" xr:uid="{00000000-0005-0000-0000-0000B0000000}"/>
    <cellStyle name="Célula Vinculada 4 4" xfId="132" xr:uid="{00000000-0005-0000-0000-0000B1000000}"/>
    <cellStyle name="Célula Vinculada 4 5" xfId="133" xr:uid="{00000000-0005-0000-0000-0000B2000000}"/>
    <cellStyle name="Célula Vinculada 4 6" xfId="134" xr:uid="{00000000-0005-0000-0000-0000B3000000}"/>
    <cellStyle name="Célula Vinculada 5" xfId="135" xr:uid="{00000000-0005-0000-0000-0000B4000000}"/>
    <cellStyle name="Célula Vinculada 5 2" xfId="136" xr:uid="{00000000-0005-0000-0000-0000B5000000}"/>
    <cellStyle name="Célula Vinculada 5 3" xfId="137" xr:uid="{00000000-0005-0000-0000-0000B6000000}"/>
    <cellStyle name="Célula Vinculada 5 4" xfId="138" xr:uid="{00000000-0005-0000-0000-0000B7000000}"/>
    <cellStyle name="Célula Vinculada 5 5" xfId="139" xr:uid="{00000000-0005-0000-0000-0000B8000000}"/>
    <cellStyle name="Célula Vinculada 5 6" xfId="140" xr:uid="{00000000-0005-0000-0000-0000B9000000}"/>
    <cellStyle name="DC_TABELA_CAMPO" xfId="1" xr:uid="{00000000-0005-0000-0000-000000000000}"/>
    <cellStyle name="Emphasis 1" xfId="141" xr:uid="{00000000-0005-0000-0000-0000BA000000}"/>
    <cellStyle name="Emphasis 2" xfId="142" xr:uid="{00000000-0005-0000-0000-0000BB000000}"/>
    <cellStyle name="Emphasis 3" xfId="143" xr:uid="{00000000-0005-0000-0000-0000BC000000}"/>
    <cellStyle name="Ênfase1 2" xfId="144" xr:uid="{00000000-0005-0000-0000-0000BD000000}"/>
    <cellStyle name="Ênfase1 2 2" xfId="145" xr:uid="{00000000-0005-0000-0000-0000BE000000}"/>
    <cellStyle name="Ênfase1 2 3" xfId="146" xr:uid="{00000000-0005-0000-0000-0000BF000000}"/>
    <cellStyle name="Ênfase1 2 4" xfId="147" xr:uid="{00000000-0005-0000-0000-0000C0000000}"/>
    <cellStyle name="Ênfase1 2 5" xfId="148" xr:uid="{00000000-0005-0000-0000-0000C1000000}"/>
    <cellStyle name="Ênfase1 2 6" xfId="149" xr:uid="{00000000-0005-0000-0000-0000C2000000}"/>
    <cellStyle name="Ênfase1 3" xfId="150" xr:uid="{00000000-0005-0000-0000-0000C3000000}"/>
    <cellStyle name="Ênfase1 3 2" xfId="151" xr:uid="{00000000-0005-0000-0000-0000C4000000}"/>
    <cellStyle name="Ênfase1 3 3" xfId="152" xr:uid="{00000000-0005-0000-0000-0000C5000000}"/>
    <cellStyle name="Ênfase1 3 4" xfId="153" xr:uid="{00000000-0005-0000-0000-0000C6000000}"/>
    <cellStyle name="Ênfase1 3 5" xfId="154" xr:uid="{00000000-0005-0000-0000-0000C7000000}"/>
    <cellStyle name="Ênfase1 3 6" xfId="155" xr:uid="{00000000-0005-0000-0000-0000C8000000}"/>
    <cellStyle name="Ênfase1 4" xfId="156" xr:uid="{00000000-0005-0000-0000-0000C9000000}"/>
    <cellStyle name="Ênfase1 4 2" xfId="157" xr:uid="{00000000-0005-0000-0000-0000CA000000}"/>
    <cellStyle name="Ênfase1 4 3" xfId="158" xr:uid="{00000000-0005-0000-0000-0000CB000000}"/>
    <cellStyle name="Ênfase1 4 4" xfId="159" xr:uid="{00000000-0005-0000-0000-0000CC000000}"/>
    <cellStyle name="Ênfase1 4 5" xfId="160" xr:uid="{00000000-0005-0000-0000-0000CD000000}"/>
    <cellStyle name="Ênfase1 4 6" xfId="161" xr:uid="{00000000-0005-0000-0000-0000CE000000}"/>
    <cellStyle name="Ênfase1 5" xfId="162" xr:uid="{00000000-0005-0000-0000-0000CF000000}"/>
    <cellStyle name="Ênfase1 5 2" xfId="163" xr:uid="{00000000-0005-0000-0000-0000D0000000}"/>
    <cellStyle name="Ênfase1 5 3" xfId="164" xr:uid="{00000000-0005-0000-0000-0000D1000000}"/>
    <cellStyle name="Ênfase1 5 4" xfId="165" xr:uid="{00000000-0005-0000-0000-0000D2000000}"/>
    <cellStyle name="Ênfase1 5 5" xfId="166" xr:uid="{00000000-0005-0000-0000-0000D3000000}"/>
    <cellStyle name="Ênfase1 5 6" xfId="167" xr:uid="{00000000-0005-0000-0000-0000D4000000}"/>
    <cellStyle name="Ênfase2 2" xfId="168" xr:uid="{00000000-0005-0000-0000-0000D5000000}"/>
    <cellStyle name="Ênfase2 2 2" xfId="169" xr:uid="{00000000-0005-0000-0000-0000D6000000}"/>
    <cellStyle name="Ênfase2 2 3" xfId="170" xr:uid="{00000000-0005-0000-0000-0000D7000000}"/>
    <cellStyle name="Ênfase2 2 4" xfId="171" xr:uid="{00000000-0005-0000-0000-0000D8000000}"/>
    <cellStyle name="Ênfase2 2 5" xfId="172" xr:uid="{00000000-0005-0000-0000-0000D9000000}"/>
    <cellStyle name="Ênfase2 2 6" xfId="173" xr:uid="{00000000-0005-0000-0000-0000DA000000}"/>
    <cellStyle name="Ênfase2 3" xfId="174" xr:uid="{00000000-0005-0000-0000-0000DB000000}"/>
    <cellStyle name="Ênfase2 3 2" xfId="175" xr:uid="{00000000-0005-0000-0000-0000DC000000}"/>
    <cellStyle name="Ênfase2 3 3" xfId="176" xr:uid="{00000000-0005-0000-0000-0000DD000000}"/>
    <cellStyle name="Ênfase2 3 4" xfId="177" xr:uid="{00000000-0005-0000-0000-0000DE000000}"/>
    <cellStyle name="Ênfase2 3 5" xfId="178" xr:uid="{00000000-0005-0000-0000-0000DF000000}"/>
    <cellStyle name="Ênfase2 3 6" xfId="179" xr:uid="{00000000-0005-0000-0000-0000E0000000}"/>
    <cellStyle name="Ênfase2 4" xfId="180" xr:uid="{00000000-0005-0000-0000-0000E1000000}"/>
    <cellStyle name="Ênfase2 4 2" xfId="181" xr:uid="{00000000-0005-0000-0000-0000E2000000}"/>
    <cellStyle name="Ênfase2 4 3" xfId="182" xr:uid="{00000000-0005-0000-0000-0000E3000000}"/>
    <cellStyle name="Ênfase2 4 4" xfId="183" xr:uid="{00000000-0005-0000-0000-0000E4000000}"/>
    <cellStyle name="Ênfase2 4 5" xfId="184" xr:uid="{00000000-0005-0000-0000-0000E5000000}"/>
    <cellStyle name="Ênfase2 4 6" xfId="185" xr:uid="{00000000-0005-0000-0000-0000E6000000}"/>
    <cellStyle name="Ênfase2 5" xfId="186" xr:uid="{00000000-0005-0000-0000-0000E7000000}"/>
    <cellStyle name="Ênfase2 5 2" xfId="187" xr:uid="{00000000-0005-0000-0000-0000E8000000}"/>
    <cellStyle name="Ênfase2 5 3" xfId="188" xr:uid="{00000000-0005-0000-0000-0000E9000000}"/>
    <cellStyle name="Ênfase2 5 4" xfId="189" xr:uid="{00000000-0005-0000-0000-0000EA000000}"/>
    <cellStyle name="Ênfase2 5 5" xfId="190" xr:uid="{00000000-0005-0000-0000-0000EB000000}"/>
    <cellStyle name="Ênfase2 5 6" xfId="191" xr:uid="{00000000-0005-0000-0000-0000EC000000}"/>
    <cellStyle name="Ênfase3 2" xfId="192" xr:uid="{00000000-0005-0000-0000-0000ED000000}"/>
    <cellStyle name="Ênfase3 2 2" xfId="193" xr:uid="{00000000-0005-0000-0000-0000EE000000}"/>
    <cellStyle name="Ênfase3 2 3" xfId="194" xr:uid="{00000000-0005-0000-0000-0000EF000000}"/>
    <cellStyle name="Ênfase3 2 4" xfId="195" xr:uid="{00000000-0005-0000-0000-0000F0000000}"/>
    <cellStyle name="Ênfase3 2 5" xfId="196" xr:uid="{00000000-0005-0000-0000-0000F1000000}"/>
    <cellStyle name="Ênfase3 2 6" xfId="197" xr:uid="{00000000-0005-0000-0000-0000F2000000}"/>
    <cellStyle name="Ênfase3 3" xfId="198" xr:uid="{00000000-0005-0000-0000-0000F3000000}"/>
    <cellStyle name="Ênfase3 3 2" xfId="199" xr:uid="{00000000-0005-0000-0000-0000F4000000}"/>
    <cellStyle name="Ênfase3 3 3" xfId="200" xr:uid="{00000000-0005-0000-0000-0000F5000000}"/>
    <cellStyle name="Ênfase3 3 4" xfId="201" xr:uid="{00000000-0005-0000-0000-0000F6000000}"/>
    <cellStyle name="Ênfase3 3 5" xfId="202" xr:uid="{00000000-0005-0000-0000-0000F7000000}"/>
    <cellStyle name="Ênfase3 3 6" xfId="203" xr:uid="{00000000-0005-0000-0000-0000F8000000}"/>
    <cellStyle name="Ênfase3 4" xfId="204" xr:uid="{00000000-0005-0000-0000-0000F9000000}"/>
    <cellStyle name="Ênfase3 4 2" xfId="205" xr:uid="{00000000-0005-0000-0000-0000FA000000}"/>
    <cellStyle name="Ênfase3 4 3" xfId="206" xr:uid="{00000000-0005-0000-0000-0000FB000000}"/>
    <cellStyle name="Ênfase3 4 4" xfId="207" xr:uid="{00000000-0005-0000-0000-0000FC000000}"/>
    <cellStyle name="Ênfase3 4 5" xfId="208" xr:uid="{00000000-0005-0000-0000-0000FD000000}"/>
    <cellStyle name="Ênfase3 4 6" xfId="209" xr:uid="{00000000-0005-0000-0000-0000FE000000}"/>
    <cellStyle name="Ênfase3 5" xfId="210" xr:uid="{00000000-0005-0000-0000-0000FF000000}"/>
    <cellStyle name="Ênfase3 5 2" xfId="211" xr:uid="{00000000-0005-0000-0000-000000010000}"/>
    <cellStyle name="Ênfase3 5 3" xfId="212" xr:uid="{00000000-0005-0000-0000-000001010000}"/>
    <cellStyle name="Ênfase3 5 4" xfId="213" xr:uid="{00000000-0005-0000-0000-000002010000}"/>
    <cellStyle name="Ênfase3 5 5" xfId="214" xr:uid="{00000000-0005-0000-0000-000003010000}"/>
    <cellStyle name="Ênfase3 5 6" xfId="215" xr:uid="{00000000-0005-0000-0000-000004010000}"/>
    <cellStyle name="Ênfase4 2" xfId="216" xr:uid="{00000000-0005-0000-0000-000005010000}"/>
    <cellStyle name="Ênfase4 2 2" xfId="217" xr:uid="{00000000-0005-0000-0000-000006010000}"/>
    <cellStyle name="Ênfase4 2 3" xfId="218" xr:uid="{00000000-0005-0000-0000-000007010000}"/>
    <cellStyle name="Ênfase4 2 4" xfId="219" xr:uid="{00000000-0005-0000-0000-000008010000}"/>
    <cellStyle name="Ênfase4 2 5" xfId="220" xr:uid="{00000000-0005-0000-0000-000009010000}"/>
    <cellStyle name="Ênfase4 2 6" xfId="221" xr:uid="{00000000-0005-0000-0000-00000A010000}"/>
    <cellStyle name="Ênfase4 3" xfId="222" xr:uid="{00000000-0005-0000-0000-00000B010000}"/>
    <cellStyle name="Ênfase4 3 2" xfId="223" xr:uid="{00000000-0005-0000-0000-00000C010000}"/>
    <cellStyle name="Ênfase4 3 3" xfId="224" xr:uid="{00000000-0005-0000-0000-00000D010000}"/>
    <cellStyle name="Ênfase4 3 4" xfId="225" xr:uid="{00000000-0005-0000-0000-00000E010000}"/>
    <cellStyle name="Ênfase4 3 5" xfId="226" xr:uid="{00000000-0005-0000-0000-00000F010000}"/>
    <cellStyle name="Ênfase4 3 6" xfId="227" xr:uid="{00000000-0005-0000-0000-000010010000}"/>
    <cellStyle name="Ênfase4 4" xfId="228" xr:uid="{00000000-0005-0000-0000-000011010000}"/>
    <cellStyle name="Ênfase4 4 2" xfId="229" xr:uid="{00000000-0005-0000-0000-000012010000}"/>
    <cellStyle name="Ênfase4 4 3" xfId="230" xr:uid="{00000000-0005-0000-0000-000013010000}"/>
    <cellStyle name="Ênfase4 4 4" xfId="231" xr:uid="{00000000-0005-0000-0000-000014010000}"/>
    <cellStyle name="Ênfase4 4 5" xfId="232" xr:uid="{00000000-0005-0000-0000-000015010000}"/>
    <cellStyle name="Ênfase4 4 6" xfId="233" xr:uid="{00000000-0005-0000-0000-000016010000}"/>
    <cellStyle name="Ênfase4 5" xfId="234" xr:uid="{00000000-0005-0000-0000-000017010000}"/>
    <cellStyle name="Ênfase4 5 2" xfId="235" xr:uid="{00000000-0005-0000-0000-000018010000}"/>
    <cellStyle name="Ênfase4 5 3" xfId="236" xr:uid="{00000000-0005-0000-0000-000019010000}"/>
    <cellStyle name="Ênfase4 5 4" xfId="237" xr:uid="{00000000-0005-0000-0000-00001A010000}"/>
    <cellStyle name="Ênfase4 5 5" xfId="238" xr:uid="{00000000-0005-0000-0000-00001B010000}"/>
    <cellStyle name="Ênfase4 5 6" xfId="239" xr:uid="{00000000-0005-0000-0000-00001C010000}"/>
    <cellStyle name="Ênfase5 2" xfId="240" xr:uid="{00000000-0005-0000-0000-00001D010000}"/>
    <cellStyle name="Ênfase5 2 2" xfId="241" xr:uid="{00000000-0005-0000-0000-00001E010000}"/>
    <cellStyle name="Ênfase5 2 3" xfId="242" xr:uid="{00000000-0005-0000-0000-00001F010000}"/>
    <cellStyle name="Ênfase5 2 4" xfId="243" xr:uid="{00000000-0005-0000-0000-000020010000}"/>
    <cellStyle name="Ênfase5 2 5" xfId="244" xr:uid="{00000000-0005-0000-0000-000021010000}"/>
    <cellStyle name="Ênfase5 2 6" xfId="245" xr:uid="{00000000-0005-0000-0000-000022010000}"/>
    <cellStyle name="Ênfase5 3" xfId="246" xr:uid="{00000000-0005-0000-0000-000023010000}"/>
    <cellStyle name="Ênfase5 3 2" xfId="247" xr:uid="{00000000-0005-0000-0000-000024010000}"/>
    <cellStyle name="Ênfase5 3 3" xfId="248" xr:uid="{00000000-0005-0000-0000-000025010000}"/>
    <cellStyle name="Ênfase5 3 4" xfId="249" xr:uid="{00000000-0005-0000-0000-000026010000}"/>
    <cellStyle name="Ênfase5 3 5" xfId="250" xr:uid="{00000000-0005-0000-0000-000027010000}"/>
    <cellStyle name="Ênfase5 3 6" xfId="251" xr:uid="{00000000-0005-0000-0000-000028010000}"/>
    <cellStyle name="Ênfase5 4" xfId="252" xr:uid="{00000000-0005-0000-0000-000029010000}"/>
    <cellStyle name="Ênfase5 4 2" xfId="253" xr:uid="{00000000-0005-0000-0000-00002A010000}"/>
    <cellStyle name="Ênfase5 4 3" xfId="254" xr:uid="{00000000-0005-0000-0000-00002B010000}"/>
    <cellStyle name="Ênfase5 4 4" xfId="255" xr:uid="{00000000-0005-0000-0000-00002C010000}"/>
    <cellStyle name="Ênfase5 4 5" xfId="256" xr:uid="{00000000-0005-0000-0000-00002D010000}"/>
    <cellStyle name="Ênfase5 4 6" xfId="257" xr:uid="{00000000-0005-0000-0000-00002E010000}"/>
    <cellStyle name="Ênfase5 5" xfId="258" xr:uid="{00000000-0005-0000-0000-00002F010000}"/>
    <cellStyle name="Ênfase5 5 2" xfId="259" xr:uid="{00000000-0005-0000-0000-000030010000}"/>
    <cellStyle name="Ênfase5 5 3" xfId="260" xr:uid="{00000000-0005-0000-0000-000031010000}"/>
    <cellStyle name="Ênfase5 5 4" xfId="261" xr:uid="{00000000-0005-0000-0000-000032010000}"/>
    <cellStyle name="Ênfase5 5 5" xfId="262" xr:uid="{00000000-0005-0000-0000-000033010000}"/>
    <cellStyle name="Ênfase5 5 6" xfId="263" xr:uid="{00000000-0005-0000-0000-000034010000}"/>
    <cellStyle name="Ênfase6 2" xfId="264" xr:uid="{00000000-0005-0000-0000-000035010000}"/>
    <cellStyle name="Ênfase6 2 2" xfId="265" xr:uid="{00000000-0005-0000-0000-000036010000}"/>
    <cellStyle name="Ênfase6 2 3" xfId="266" xr:uid="{00000000-0005-0000-0000-000037010000}"/>
    <cellStyle name="Ênfase6 2 4" xfId="267" xr:uid="{00000000-0005-0000-0000-000038010000}"/>
    <cellStyle name="Ênfase6 2 5" xfId="268" xr:uid="{00000000-0005-0000-0000-000039010000}"/>
    <cellStyle name="Ênfase6 2 6" xfId="269" xr:uid="{00000000-0005-0000-0000-00003A010000}"/>
    <cellStyle name="Ênfase6 3" xfId="270" xr:uid="{00000000-0005-0000-0000-00003B010000}"/>
    <cellStyle name="Ênfase6 3 2" xfId="271" xr:uid="{00000000-0005-0000-0000-00003C010000}"/>
    <cellStyle name="Ênfase6 3 3" xfId="272" xr:uid="{00000000-0005-0000-0000-00003D010000}"/>
    <cellStyle name="Ênfase6 3 4" xfId="273" xr:uid="{00000000-0005-0000-0000-00003E010000}"/>
    <cellStyle name="Ênfase6 3 5" xfId="274" xr:uid="{00000000-0005-0000-0000-00003F010000}"/>
    <cellStyle name="Ênfase6 3 6" xfId="275" xr:uid="{00000000-0005-0000-0000-000040010000}"/>
    <cellStyle name="Ênfase6 4" xfId="276" xr:uid="{00000000-0005-0000-0000-000041010000}"/>
    <cellStyle name="Ênfase6 4 2" xfId="277" xr:uid="{00000000-0005-0000-0000-000042010000}"/>
    <cellStyle name="Ênfase6 4 3" xfId="278" xr:uid="{00000000-0005-0000-0000-000043010000}"/>
    <cellStyle name="Ênfase6 4 4" xfId="279" xr:uid="{00000000-0005-0000-0000-000044010000}"/>
    <cellStyle name="Ênfase6 4 5" xfId="280" xr:uid="{00000000-0005-0000-0000-000045010000}"/>
    <cellStyle name="Ênfase6 4 6" xfId="281" xr:uid="{00000000-0005-0000-0000-000046010000}"/>
    <cellStyle name="Ênfase6 5" xfId="282" xr:uid="{00000000-0005-0000-0000-000047010000}"/>
    <cellStyle name="Ênfase6 5 2" xfId="283" xr:uid="{00000000-0005-0000-0000-000048010000}"/>
    <cellStyle name="Ênfase6 5 3" xfId="284" xr:uid="{00000000-0005-0000-0000-000049010000}"/>
    <cellStyle name="Ênfase6 5 4" xfId="285" xr:uid="{00000000-0005-0000-0000-00004A010000}"/>
    <cellStyle name="Ênfase6 5 5" xfId="286" xr:uid="{00000000-0005-0000-0000-00004B010000}"/>
    <cellStyle name="Ênfase6 5 6" xfId="287" xr:uid="{00000000-0005-0000-0000-00004C010000}"/>
    <cellStyle name="Entrada 2" xfId="288" xr:uid="{00000000-0005-0000-0000-00004D010000}"/>
    <cellStyle name="Entrada 2 2" xfId="289" xr:uid="{00000000-0005-0000-0000-00004E010000}"/>
    <cellStyle name="Entrada 2 3" xfId="290" xr:uid="{00000000-0005-0000-0000-00004F010000}"/>
    <cellStyle name="Entrada 2 4" xfId="291" xr:uid="{00000000-0005-0000-0000-000050010000}"/>
    <cellStyle name="Entrada 2 5" xfId="292" xr:uid="{00000000-0005-0000-0000-000051010000}"/>
    <cellStyle name="Entrada 2 6" xfId="293" xr:uid="{00000000-0005-0000-0000-000052010000}"/>
    <cellStyle name="Entrada 3" xfId="294" xr:uid="{00000000-0005-0000-0000-000053010000}"/>
    <cellStyle name="Entrada 3 2" xfId="295" xr:uid="{00000000-0005-0000-0000-000054010000}"/>
    <cellStyle name="Entrada 3 3" xfId="296" xr:uid="{00000000-0005-0000-0000-000055010000}"/>
    <cellStyle name="Entrada 3 4" xfId="297" xr:uid="{00000000-0005-0000-0000-000056010000}"/>
    <cellStyle name="Entrada 3 5" xfId="298" xr:uid="{00000000-0005-0000-0000-000057010000}"/>
    <cellStyle name="Entrada 3 6" xfId="299" xr:uid="{00000000-0005-0000-0000-000058010000}"/>
    <cellStyle name="Entrada 4" xfId="300" xr:uid="{00000000-0005-0000-0000-000059010000}"/>
    <cellStyle name="Entrada 4 2" xfId="301" xr:uid="{00000000-0005-0000-0000-00005A010000}"/>
    <cellStyle name="Entrada 4 3" xfId="302" xr:uid="{00000000-0005-0000-0000-00005B010000}"/>
    <cellStyle name="Entrada 4 4" xfId="303" xr:uid="{00000000-0005-0000-0000-00005C010000}"/>
    <cellStyle name="Entrada 4 5" xfId="304" xr:uid="{00000000-0005-0000-0000-00005D010000}"/>
    <cellStyle name="Entrada 4 6" xfId="305" xr:uid="{00000000-0005-0000-0000-00005E010000}"/>
    <cellStyle name="Entrada 5" xfId="306" xr:uid="{00000000-0005-0000-0000-00005F010000}"/>
    <cellStyle name="Entrada 5 2" xfId="307" xr:uid="{00000000-0005-0000-0000-000060010000}"/>
    <cellStyle name="Entrada 5 3" xfId="308" xr:uid="{00000000-0005-0000-0000-000061010000}"/>
    <cellStyle name="Entrada 5 4" xfId="309" xr:uid="{00000000-0005-0000-0000-000062010000}"/>
    <cellStyle name="Entrada 5 5" xfId="310" xr:uid="{00000000-0005-0000-0000-000063010000}"/>
    <cellStyle name="Entrada 5 6" xfId="311" xr:uid="{00000000-0005-0000-0000-000064010000}"/>
    <cellStyle name="Incorreto 2" xfId="312" xr:uid="{00000000-0005-0000-0000-000065010000}"/>
    <cellStyle name="Incorreto 2 2" xfId="313" xr:uid="{00000000-0005-0000-0000-000066010000}"/>
    <cellStyle name="Incorreto 2 3" xfId="314" xr:uid="{00000000-0005-0000-0000-000067010000}"/>
    <cellStyle name="Incorreto 2 4" xfId="315" xr:uid="{00000000-0005-0000-0000-000068010000}"/>
    <cellStyle name="Incorreto 2 5" xfId="316" xr:uid="{00000000-0005-0000-0000-000069010000}"/>
    <cellStyle name="Incorreto 2 6" xfId="317" xr:uid="{00000000-0005-0000-0000-00006A010000}"/>
    <cellStyle name="Incorreto 3" xfId="318" xr:uid="{00000000-0005-0000-0000-00006B010000}"/>
    <cellStyle name="Incorreto 3 2" xfId="319" xr:uid="{00000000-0005-0000-0000-00006C010000}"/>
    <cellStyle name="Incorreto 3 3" xfId="320" xr:uid="{00000000-0005-0000-0000-00006D010000}"/>
    <cellStyle name="Incorreto 3 4" xfId="321" xr:uid="{00000000-0005-0000-0000-00006E010000}"/>
    <cellStyle name="Incorreto 3 5" xfId="322" xr:uid="{00000000-0005-0000-0000-00006F010000}"/>
    <cellStyle name="Incorreto 3 6" xfId="323" xr:uid="{00000000-0005-0000-0000-000070010000}"/>
    <cellStyle name="Incorreto 4" xfId="324" xr:uid="{00000000-0005-0000-0000-000071010000}"/>
    <cellStyle name="Incorreto 4 2" xfId="325" xr:uid="{00000000-0005-0000-0000-000072010000}"/>
    <cellStyle name="Incorreto 4 3" xfId="326" xr:uid="{00000000-0005-0000-0000-000073010000}"/>
    <cellStyle name="Incorreto 4 4" xfId="327" xr:uid="{00000000-0005-0000-0000-000074010000}"/>
    <cellStyle name="Incorreto 4 5" xfId="328" xr:uid="{00000000-0005-0000-0000-000075010000}"/>
    <cellStyle name="Incorreto 4 6" xfId="329" xr:uid="{00000000-0005-0000-0000-000076010000}"/>
    <cellStyle name="Incorreto 5" xfId="330" xr:uid="{00000000-0005-0000-0000-000077010000}"/>
    <cellStyle name="Incorreto 5 2" xfId="331" xr:uid="{00000000-0005-0000-0000-000078010000}"/>
    <cellStyle name="Incorreto 5 3" xfId="332" xr:uid="{00000000-0005-0000-0000-000079010000}"/>
    <cellStyle name="Incorreto 5 4" xfId="333" xr:uid="{00000000-0005-0000-0000-00007A010000}"/>
    <cellStyle name="Incorreto 5 5" xfId="334" xr:uid="{00000000-0005-0000-0000-00007B010000}"/>
    <cellStyle name="Incorreto 5 6" xfId="335" xr:uid="{00000000-0005-0000-0000-00007C010000}"/>
    <cellStyle name="Moeda 2" xfId="17" xr:uid="{00000000-0005-0000-0000-000002000000}"/>
    <cellStyle name="Moeda 3" xfId="854" xr:uid="{00000000-0005-0000-0000-000081030000}"/>
    <cellStyle name="Moeda 4" xfId="897" xr:uid="{00000000-0005-0000-0000-000086030000}"/>
    <cellStyle name="Moeda 5" xfId="904" xr:uid="{06AF65F1-85B6-4EC0-B238-6E9A1C1E944F}"/>
    <cellStyle name="Neutra 2" xfId="336" xr:uid="{00000000-0005-0000-0000-00007D010000}"/>
    <cellStyle name="Neutra 2 2" xfId="337" xr:uid="{00000000-0005-0000-0000-00007E010000}"/>
    <cellStyle name="Neutra 2 3" xfId="338" xr:uid="{00000000-0005-0000-0000-00007F010000}"/>
    <cellStyle name="Neutra 2 4" xfId="339" xr:uid="{00000000-0005-0000-0000-000080010000}"/>
    <cellStyle name="Neutra 2 5" xfId="340" xr:uid="{00000000-0005-0000-0000-000081010000}"/>
    <cellStyle name="Neutra 2 6" xfId="341" xr:uid="{00000000-0005-0000-0000-000082010000}"/>
    <cellStyle name="Neutra 3" xfId="342" xr:uid="{00000000-0005-0000-0000-000083010000}"/>
    <cellStyle name="Neutra 3 2" xfId="343" xr:uid="{00000000-0005-0000-0000-000084010000}"/>
    <cellStyle name="Neutra 3 3" xfId="344" xr:uid="{00000000-0005-0000-0000-000085010000}"/>
    <cellStyle name="Neutra 3 4" xfId="345" xr:uid="{00000000-0005-0000-0000-000086010000}"/>
    <cellStyle name="Neutra 3 5" xfId="346" xr:uid="{00000000-0005-0000-0000-000087010000}"/>
    <cellStyle name="Neutra 3 6" xfId="347" xr:uid="{00000000-0005-0000-0000-000088010000}"/>
    <cellStyle name="Neutra 4" xfId="348" xr:uid="{00000000-0005-0000-0000-000089010000}"/>
    <cellStyle name="Neutra 4 2" xfId="349" xr:uid="{00000000-0005-0000-0000-00008A010000}"/>
    <cellStyle name="Neutra 4 3" xfId="350" xr:uid="{00000000-0005-0000-0000-00008B010000}"/>
    <cellStyle name="Neutra 4 4" xfId="351" xr:uid="{00000000-0005-0000-0000-00008C010000}"/>
    <cellStyle name="Neutra 4 5" xfId="352" xr:uid="{00000000-0005-0000-0000-00008D010000}"/>
    <cellStyle name="Neutra 4 6" xfId="353" xr:uid="{00000000-0005-0000-0000-00008E010000}"/>
    <cellStyle name="Neutra 5" xfId="354" xr:uid="{00000000-0005-0000-0000-00008F010000}"/>
    <cellStyle name="Neutra 5 2" xfId="355" xr:uid="{00000000-0005-0000-0000-000090010000}"/>
    <cellStyle name="Neutra 5 3" xfId="356" xr:uid="{00000000-0005-0000-0000-000091010000}"/>
    <cellStyle name="Neutra 5 4" xfId="357" xr:uid="{00000000-0005-0000-0000-000092010000}"/>
    <cellStyle name="Neutra 5 5" xfId="358" xr:uid="{00000000-0005-0000-0000-000093010000}"/>
    <cellStyle name="Neutra 5 6" xfId="359" xr:uid="{00000000-0005-0000-0000-000094010000}"/>
    <cellStyle name="Normal" xfId="0" builtinId="0"/>
    <cellStyle name="Normal 10" xfId="360" xr:uid="{00000000-0005-0000-0000-000095010000}"/>
    <cellStyle name="Normal 11" xfId="361" xr:uid="{00000000-0005-0000-0000-000096010000}"/>
    <cellStyle name="Normal 11 2" xfId="784" xr:uid="{00000000-0005-0000-0000-00004F010000}"/>
    <cellStyle name="Normal 11 2 2" xfId="816" xr:uid="{00000000-0005-0000-0000-000053010000}"/>
    <cellStyle name="Normal 11 3" xfId="809" xr:uid="{00000000-0005-0000-0000-000054010000}"/>
    <cellStyle name="Normal 11 4" xfId="837" xr:uid="{00000000-0005-0000-0000-00004F010000}"/>
    <cellStyle name="Normal 11 5" xfId="843" xr:uid="{00000000-0005-0000-0000-00004F010000}"/>
    <cellStyle name="Normal 11 6" xfId="872" xr:uid="{00000000-0005-0000-0000-000096010000}"/>
    <cellStyle name="Normal 12" xfId="362" xr:uid="{00000000-0005-0000-0000-000097010000}"/>
    <cellStyle name="Normal 12 2" xfId="785" xr:uid="{00000000-0005-0000-0000-000050010000}"/>
    <cellStyle name="Normal 12 2 2" xfId="817" xr:uid="{00000000-0005-0000-0000-000057010000}"/>
    <cellStyle name="Normal 12 3" xfId="810" xr:uid="{00000000-0005-0000-0000-000058010000}"/>
    <cellStyle name="Normal 12 4" xfId="838" xr:uid="{00000000-0005-0000-0000-000050010000}"/>
    <cellStyle name="Normal 12 5" xfId="844" xr:uid="{00000000-0005-0000-0000-000050010000}"/>
    <cellStyle name="Normal 12 6" xfId="873" xr:uid="{00000000-0005-0000-0000-000097010000}"/>
    <cellStyle name="Normal 13" xfId="777" xr:uid="{AE55DDEE-11BB-407E-9595-B48C97153506}"/>
    <cellStyle name="Normal 13 2" xfId="893" xr:uid="{AE55DDEE-11BB-407E-9595-B48C97153506}"/>
    <cellStyle name="Normal 14" xfId="363" xr:uid="{00000000-0005-0000-0000-000098010000}"/>
    <cellStyle name="Normal 15" xfId="779" xr:uid="{F5F0387D-56E6-4EE8-850A-9C9BE99FDA03}"/>
    <cellStyle name="Normal 15 2" xfId="895" xr:uid="{F5F0387D-56E6-4EE8-850A-9C9BE99FDA03}"/>
    <cellStyle name="Normal 16" xfId="781" xr:uid="{00000000-0005-0000-0000-00003A030000}"/>
    <cellStyle name="Normal 17" xfId="850" xr:uid="{03D28F4A-6908-4ED2-A430-DB1C87B61B09}"/>
    <cellStyle name="Normal 17 2" xfId="855" xr:uid="{D82B6162-71AA-40EE-9E38-354B51975A68}"/>
    <cellStyle name="Normal 18" xfId="852" xr:uid="{00000000-0005-0000-0000-000082030000}"/>
    <cellStyle name="Normal 19" xfId="898" xr:uid="{9413A313-855C-4BF4-88DA-B4FEE2682EE9}"/>
    <cellStyle name="Normal 2" xfId="3" xr:uid="{00000000-0005-0000-0000-000004000000}"/>
    <cellStyle name="Normal 2 2" xfId="365" xr:uid="{00000000-0005-0000-0000-00009A010000}"/>
    <cellStyle name="Normal 2 2 2" xfId="366" xr:uid="{00000000-0005-0000-0000-00009B010000}"/>
    <cellStyle name="Normal 2 2 3" xfId="367" xr:uid="{00000000-0005-0000-0000-00009C010000}"/>
    <cellStyle name="Normal 2 2 4" xfId="368" xr:uid="{00000000-0005-0000-0000-00009D010000}"/>
    <cellStyle name="Normal 2 3" xfId="369" xr:uid="{00000000-0005-0000-0000-00009E010000}"/>
    <cellStyle name="Normal 2 4" xfId="370" xr:uid="{00000000-0005-0000-0000-00009F010000}"/>
    <cellStyle name="Normal 2 5" xfId="364" xr:uid="{00000000-0005-0000-0000-000099010000}"/>
    <cellStyle name="Normal 20" xfId="902" xr:uid="{6951DF55-3479-487E-8601-5858772C2912}"/>
    <cellStyle name="Normal 3" xfId="5" xr:uid="{00000000-0005-0000-0000-000005000000}"/>
    <cellStyle name="Normal 3 2" xfId="13" xr:uid="{00000000-0005-0000-0000-000006000000}"/>
    <cellStyle name="Normal 3 2 2" xfId="768" xr:uid="{00000000-0005-0000-0000-000006000000}"/>
    <cellStyle name="Normal 3 2 2 2" xfId="884" xr:uid="{00000000-0005-0000-0000-000006000000}"/>
    <cellStyle name="Normal 3 2 3" xfId="861" xr:uid="{00000000-0005-0000-0000-000006000000}"/>
    <cellStyle name="Normal 3 3" xfId="19" xr:uid="{00000000-0005-0000-0000-000007000000}"/>
    <cellStyle name="Normal 3 3 2" xfId="773" xr:uid="{00000000-0005-0000-0000-000007000000}"/>
    <cellStyle name="Normal 3 3 2 2" xfId="889" xr:uid="{00000000-0005-0000-0000-000007000000}"/>
    <cellStyle name="Normal 3 3 3" xfId="866" xr:uid="{00000000-0005-0000-0000-000007000000}"/>
    <cellStyle name="Normal 3 4" xfId="21" xr:uid="{D0576EAF-C6E0-4B9A-A30B-166943355BC7}"/>
    <cellStyle name="Normal 3 5" xfId="764" xr:uid="{00000000-0005-0000-0000-000005000000}"/>
    <cellStyle name="Normal 3 5 2" xfId="880" xr:uid="{00000000-0005-0000-0000-000005000000}"/>
    <cellStyle name="Normal 3 6" xfId="857" xr:uid="{00000000-0005-0000-0000-000005000000}"/>
    <cellStyle name="Normal 4" xfId="10" xr:uid="{00000000-0005-0000-0000-000008000000}"/>
    <cellStyle name="Normal 4 2" xfId="16" xr:uid="{00000000-0005-0000-0000-000009000000}"/>
    <cellStyle name="Normal 4 2 2" xfId="771" xr:uid="{00000000-0005-0000-0000-000009000000}"/>
    <cellStyle name="Normal 4 2 2 2" xfId="818" xr:uid="{00000000-0005-0000-0000-000064010000}"/>
    <cellStyle name="Normal 4 2 2 3" xfId="887" xr:uid="{00000000-0005-0000-0000-000009000000}"/>
    <cellStyle name="Normal 4 2 3" xfId="792" xr:uid="{00000000-0005-0000-0000-000063010000}"/>
    <cellStyle name="Normal 4 2 4" xfId="864" xr:uid="{00000000-0005-0000-0000-000009000000}"/>
    <cellStyle name="Normal 4 3" xfId="371" xr:uid="{00000000-0005-0000-0000-0000A0010000}"/>
    <cellStyle name="Normal 4 3 2" xfId="811" xr:uid="{00000000-0005-0000-0000-000065010000}"/>
    <cellStyle name="Normal 4 3 3" xfId="874" xr:uid="{00000000-0005-0000-0000-0000A0010000}"/>
    <cellStyle name="Normal 4 4" xfId="767" xr:uid="{00000000-0005-0000-0000-000008000000}"/>
    <cellStyle name="Normal 4 4 2" xfId="839" xr:uid="{00000000-0005-0000-0000-00005A010000}"/>
    <cellStyle name="Normal 4 4 3" xfId="883" xr:uid="{00000000-0005-0000-0000-000008000000}"/>
    <cellStyle name="Normal 4 5" xfId="786" xr:uid="{00000000-0005-0000-0000-00005A010000}"/>
    <cellStyle name="Normal 4 6" xfId="860" xr:uid="{00000000-0005-0000-0000-000008000000}"/>
    <cellStyle name="Normal 5" xfId="18" xr:uid="{00000000-0005-0000-0000-00000A000000}"/>
    <cellStyle name="Normal 5 2" xfId="372" xr:uid="{00000000-0005-0000-0000-0000A1010000}"/>
    <cellStyle name="Normal 5 2 2" xfId="819" xr:uid="{00000000-0005-0000-0000-000068010000}"/>
    <cellStyle name="Normal 5 2 3" xfId="793" xr:uid="{00000000-0005-0000-0000-000067010000}"/>
    <cellStyle name="Normal 5 2 4" xfId="875" xr:uid="{00000000-0005-0000-0000-0000A1010000}"/>
    <cellStyle name="Normal 5 3" xfId="772" xr:uid="{00000000-0005-0000-0000-00000A000000}"/>
    <cellStyle name="Normal 5 3 2" xfId="812" xr:uid="{00000000-0005-0000-0000-000069010000}"/>
    <cellStyle name="Normal 5 3 3" xfId="888" xr:uid="{00000000-0005-0000-0000-00000A000000}"/>
    <cellStyle name="Normal 5 4" xfId="787" xr:uid="{00000000-0005-0000-0000-00005B010000}"/>
    <cellStyle name="Normal 5 5" xfId="845" xr:uid="{00000000-0005-0000-0000-00005B010000}"/>
    <cellStyle name="Normal 5 6" xfId="865" xr:uid="{00000000-0005-0000-0000-00000A000000}"/>
    <cellStyle name="Normal 6" xfId="20" xr:uid="{6D85AC24-C5E6-4733-ACC9-E8951C5350A7}"/>
    <cellStyle name="Normal 6 2" xfId="373" xr:uid="{00000000-0005-0000-0000-0000A2010000}"/>
    <cellStyle name="Normal 6 2 2" xfId="820" xr:uid="{00000000-0005-0000-0000-00006C010000}"/>
    <cellStyle name="Normal 6 2 3" xfId="794" xr:uid="{00000000-0005-0000-0000-00006B010000}"/>
    <cellStyle name="Normal 6 2 4" xfId="876" xr:uid="{00000000-0005-0000-0000-0000A2010000}"/>
    <cellStyle name="Normal 6 3" xfId="774" xr:uid="{6D85AC24-C5E6-4733-ACC9-E8951C5350A7}"/>
    <cellStyle name="Normal 6 3 2" xfId="813" xr:uid="{00000000-0005-0000-0000-00006D010000}"/>
    <cellStyle name="Normal 6 3 3" xfId="890" xr:uid="{6D85AC24-C5E6-4733-ACC9-E8951C5350A7}"/>
    <cellStyle name="Normal 6 4" xfId="788" xr:uid="{00000000-0005-0000-0000-00005C010000}"/>
    <cellStyle name="Normal 6 5" xfId="846" xr:uid="{00000000-0005-0000-0000-00005C010000}"/>
    <cellStyle name="Normal 6 6" xfId="867" xr:uid="{6D85AC24-C5E6-4733-ACC9-E8951C5350A7}"/>
    <cellStyle name="Normal 6 7" xfId="900" xr:uid="{14385DBC-DA44-48F8-9F5C-D4B75E4C62B8}"/>
    <cellStyle name="Normal 6 7 2" xfId="901" xr:uid="{0C14359F-3B07-4F5E-99BE-24F440B5782E}"/>
    <cellStyle name="Normal 7" xfId="25" xr:uid="{996A0D7A-C742-4B3D-8A19-A74EBE2F8C04}"/>
    <cellStyle name="Normal 7 2" xfId="374" xr:uid="{00000000-0005-0000-0000-0000A3010000}"/>
    <cellStyle name="Normal 7 2 2" xfId="821" xr:uid="{00000000-0005-0000-0000-000070010000}"/>
    <cellStyle name="Normal 7 2 3" xfId="795" xr:uid="{00000000-0005-0000-0000-00006F010000}"/>
    <cellStyle name="Normal 7 2 4" xfId="877" xr:uid="{00000000-0005-0000-0000-0000A3010000}"/>
    <cellStyle name="Normal 7 3" xfId="789" xr:uid="{00000000-0005-0000-0000-00005D010000}"/>
    <cellStyle name="Normal 7 4" xfId="840" xr:uid="{00000000-0005-0000-0000-00005D010000}"/>
    <cellStyle name="Normal 7 5" xfId="847" xr:uid="{00000000-0005-0000-0000-00005D010000}"/>
    <cellStyle name="Normal 7 6" xfId="870" xr:uid="{996A0D7A-C742-4B3D-8A19-A74EBE2F8C04}"/>
    <cellStyle name="Normal 8" xfId="375" xr:uid="{00000000-0005-0000-0000-0000A4010000}"/>
    <cellStyle name="Normal 8 2" xfId="790" xr:uid="{00000000-0005-0000-0000-00005E010000}"/>
    <cellStyle name="Normal 8 2 2" xfId="822" xr:uid="{00000000-0005-0000-0000-000074010000}"/>
    <cellStyle name="Normal 8 3" xfId="814" xr:uid="{00000000-0005-0000-0000-000075010000}"/>
    <cellStyle name="Normal 8 4" xfId="841" xr:uid="{00000000-0005-0000-0000-00005E010000}"/>
    <cellStyle name="Normal 8 5" xfId="848" xr:uid="{00000000-0005-0000-0000-00005E010000}"/>
    <cellStyle name="Normal 8 6" xfId="878" xr:uid="{00000000-0005-0000-0000-0000A4010000}"/>
    <cellStyle name="Normal 9" xfId="376" xr:uid="{00000000-0005-0000-0000-0000A5010000}"/>
    <cellStyle name="Normal 9 2" xfId="791" xr:uid="{00000000-0005-0000-0000-00005F010000}"/>
    <cellStyle name="Normal 9 2 2" xfId="823" xr:uid="{00000000-0005-0000-0000-000078010000}"/>
    <cellStyle name="Normal 9 3" xfId="815" xr:uid="{00000000-0005-0000-0000-000079010000}"/>
    <cellStyle name="Normal 9 4" xfId="842" xr:uid="{00000000-0005-0000-0000-00005F010000}"/>
    <cellStyle name="Normal 9 5" xfId="849" xr:uid="{00000000-0005-0000-0000-00005F010000}"/>
    <cellStyle name="Normal 9 6" xfId="879" xr:uid="{00000000-0005-0000-0000-0000A5010000}"/>
    <cellStyle name="Nota 2" xfId="377" xr:uid="{00000000-0005-0000-0000-0000A8010000}"/>
    <cellStyle name="Nota 2 2" xfId="378" xr:uid="{00000000-0005-0000-0000-0000A9010000}"/>
    <cellStyle name="Nota 2 3" xfId="379" xr:uid="{00000000-0005-0000-0000-0000AA010000}"/>
    <cellStyle name="Nota 2 4" xfId="380" xr:uid="{00000000-0005-0000-0000-0000AB010000}"/>
    <cellStyle name="Nota 2 5" xfId="381" xr:uid="{00000000-0005-0000-0000-0000AC010000}"/>
    <cellStyle name="Nota 2 6" xfId="382" xr:uid="{00000000-0005-0000-0000-0000AD010000}"/>
    <cellStyle name="Nota 3" xfId="383" xr:uid="{00000000-0005-0000-0000-0000AE010000}"/>
    <cellStyle name="Nota 3 2" xfId="384" xr:uid="{00000000-0005-0000-0000-0000AF010000}"/>
    <cellStyle name="Nota 3 3" xfId="385" xr:uid="{00000000-0005-0000-0000-0000B0010000}"/>
    <cellStyle name="Nota 3 4" xfId="386" xr:uid="{00000000-0005-0000-0000-0000B1010000}"/>
    <cellStyle name="Nota 3 5" xfId="387" xr:uid="{00000000-0005-0000-0000-0000B2010000}"/>
    <cellStyle name="Nota 3 6" xfId="388" xr:uid="{00000000-0005-0000-0000-0000B3010000}"/>
    <cellStyle name="Nota 4" xfId="389" xr:uid="{00000000-0005-0000-0000-0000B4010000}"/>
    <cellStyle name="Nota 4 2" xfId="390" xr:uid="{00000000-0005-0000-0000-0000B5010000}"/>
    <cellStyle name="Nota 4 3" xfId="391" xr:uid="{00000000-0005-0000-0000-0000B6010000}"/>
    <cellStyle name="Nota 4 4" xfId="392" xr:uid="{00000000-0005-0000-0000-0000B7010000}"/>
    <cellStyle name="Nota 4 5" xfId="393" xr:uid="{00000000-0005-0000-0000-0000B8010000}"/>
    <cellStyle name="Nota 4 6" xfId="394" xr:uid="{00000000-0005-0000-0000-0000B9010000}"/>
    <cellStyle name="Nota 5" xfId="395" xr:uid="{00000000-0005-0000-0000-0000BA010000}"/>
    <cellStyle name="Nota 5 2" xfId="396" xr:uid="{00000000-0005-0000-0000-0000BB010000}"/>
    <cellStyle name="Nota 5 3" xfId="397" xr:uid="{00000000-0005-0000-0000-0000BC010000}"/>
    <cellStyle name="Nota 5 4" xfId="398" xr:uid="{00000000-0005-0000-0000-0000BD010000}"/>
    <cellStyle name="Nota 5 5" xfId="399" xr:uid="{00000000-0005-0000-0000-0000BE010000}"/>
    <cellStyle name="Nota 5 6" xfId="400" xr:uid="{00000000-0005-0000-0000-0000BF010000}"/>
    <cellStyle name="Porcentagem 2" xfId="7" xr:uid="{00000000-0005-0000-0000-00000D000000}"/>
    <cellStyle name="Porcentagem 2 2" xfId="9" xr:uid="{00000000-0005-0000-0000-00000E000000}"/>
    <cellStyle name="Porcentagem 2 3" xfId="15" xr:uid="{00000000-0005-0000-0000-00000F000000}"/>
    <cellStyle name="Porcentagem 2 3 2" xfId="770" xr:uid="{00000000-0005-0000-0000-00000F000000}"/>
    <cellStyle name="Porcentagem 2 3 2 2" xfId="886" xr:uid="{00000000-0005-0000-0000-00000F000000}"/>
    <cellStyle name="Porcentagem 2 3 3" xfId="863" xr:uid="{00000000-0005-0000-0000-00000F000000}"/>
    <cellStyle name="Porcentagem 2 4" xfId="766" xr:uid="{00000000-0005-0000-0000-00000D000000}"/>
    <cellStyle name="Porcentagem 2 4 2" xfId="882" xr:uid="{00000000-0005-0000-0000-00000D000000}"/>
    <cellStyle name="Porcentagem 2 5" xfId="859" xr:uid="{00000000-0005-0000-0000-00000D000000}"/>
    <cellStyle name="Porcentagem 3" xfId="24" xr:uid="{E6FFF3FD-8DFE-4195-A300-E024F6110529}"/>
    <cellStyle name="Porcentagem 3 2" xfId="776" xr:uid="{E6FFF3FD-8DFE-4195-A300-E024F6110529}"/>
    <cellStyle name="Porcentagem 3 2 2" xfId="892" xr:uid="{E6FFF3FD-8DFE-4195-A300-E024F6110529}"/>
    <cellStyle name="Porcentagem 3 3" xfId="869" xr:uid="{E6FFF3FD-8DFE-4195-A300-E024F6110529}"/>
    <cellStyle name="Saída 2" xfId="401" xr:uid="{00000000-0005-0000-0000-0000C0010000}"/>
    <cellStyle name="Saída 2 2" xfId="402" xr:uid="{00000000-0005-0000-0000-0000C1010000}"/>
    <cellStyle name="Saída 2 3" xfId="403" xr:uid="{00000000-0005-0000-0000-0000C2010000}"/>
    <cellStyle name="Saída 2 4" xfId="404" xr:uid="{00000000-0005-0000-0000-0000C3010000}"/>
    <cellStyle name="Saída 2 5" xfId="405" xr:uid="{00000000-0005-0000-0000-0000C4010000}"/>
    <cellStyle name="Saída 2 6" xfId="406" xr:uid="{00000000-0005-0000-0000-0000C5010000}"/>
    <cellStyle name="Saída 3" xfId="407" xr:uid="{00000000-0005-0000-0000-0000C6010000}"/>
    <cellStyle name="Saída 3 2" xfId="408" xr:uid="{00000000-0005-0000-0000-0000C7010000}"/>
    <cellStyle name="Saída 3 3" xfId="409" xr:uid="{00000000-0005-0000-0000-0000C8010000}"/>
    <cellStyle name="Saída 3 4" xfId="410" xr:uid="{00000000-0005-0000-0000-0000C9010000}"/>
    <cellStyle name="Saída 3 5" xfId="411" xr:uid="{00000000-0005-0000-0000-0000CA010000}"/>
    <cellStyle name="Saída 3 6" xfId="412" xr:uid="{00000000-0005-0000-0000-0000CB010000}"/>
    <cellStyle name="Saída 4" xfId="413" xr:uid="{00000000-0005-0000-0000-0000CC010000}"/>
    <cellStyle name="Saída 4 2" xfId="414" xr:uid="{00000000-0005-0000-0000-0000CD010000}"/>
    <cellStyle name="Saída 4 3" xfId="415" xr:uid="{00000000-0005-0000-0000-0000CE010000}"/>
    <cellStyle name="Saída 4 4" xfId="416" xr:uid="{00000000-0005-0000-0000-0000CF010000}"/>
    <cellStyle name="Saída 4 5" xfId="417" xr:uid="{00000000-0005-0000-0000-0000D0010000}"/>
    <cellStyle name="Saída 4 6" xfId="418" xr:uid="{00000000-0005-0000-0000-0000D1010000}"/>
    <cellStyle name="Saída 5" xfId="419" xr:uid="{00000000-0005-0000-0000-0000D2010000}"/>
    <cellStyle name="Saída 5 2" xfId="420" xr:uid="{00000000-0005-0000-0000-0000D3010000}"/>
    <cellStyle name="Saída 5 3" xfId="421" xr:uid="{00000000-0005-0000-0000-0000D4010000}"/>
    <cellStyle name="Saída 5 4" xfId="422" xr:uid="{00000000-0005-0000-0000-0000D5010000}"/>
    <cellStyle name="Saída 5 5" xfId="423" xr:uid="{00000000-0005-0000-0000-0000D6010000}"/>
    <cellStyle name="Saída 5 6" xfId="424" xr:uid="{00000000-0005-0000-0000-0000D7010000}"/>
    <cellStyle name="SAPBEXaggData" xfId="425" xr:uid="{00000000-0005-0000-0000-0000D8010000}"/>
    <cellStyle name="SAPBEXaggData 2" xfId="426" xr:uid="{00000000-0005-0000-0000-0000D9010000}"/>
    <cellStyle name="SAPBEXaggData 3" xfId="427" xr:uid="{00000000-0005-0000-0000-0000DA010000}"/>
    <cellStyle name="SAPBEXaggData 4" xfId="428" xr:uid="{00000000-0005-0000-0000-0000DB010000}"/>
    <cellStyle name="SAPBEXaggData 5" xfId="429" xr:uid="{00000000-0005-0000-0000-0000DC010000}"/>
    <cellStyle name="SAPBEXaggData 6" xfId="430" xr:uid="{00000000-0005-0000-0000-0000DD010000}"/>
    <cellStyle name="SAPBEXaggDataEmph" xfId="431" xr:uid="{00000000-0005-0000-0000-0000DE010000}"/>
    <cellStyle name="SAPBEXaggItem" xfId="432" xr:uid="{00000000-0005-0000-0000-0000DF010000}"/>
    <cellStyle name="SAPBEXaggItem 2" xfId="433" xr:uid="{00000000-0005-0000-0000-0000E0010000}"/>
    <cellStyle name="SAPBEXaggItem 3" xfId="434" xr:uid="{00000000-0005-0000-0000-0000E1010000}"/>
    <cellStyle name="SAPBEXaggItem 4" xfId="435" xr:uid="{00000000-0005-0000-0000-0000E2010000}"/>
    <cellStyle name="SAPBEXaggItem 5" xfId="436" xr:uid="{00000000-0005-0000-0000-0000E3010000}"/>
    <cellStyle name="SAPBEXaggItem 6" xfId="437" xr:uid="{00000000-0005-0000-0000-0000E4010000}"/>
    <cellStyle name="SAPBEXaggItemX" xfId="438" xr:uid="{00000000-0005-0000-0000-0000E5010000}"/>
    <cellStyle name="SAPBEXchaText" xfId="439" xr:uid="{00000000-0005-0000-0000-0000E6010000}"/>
    <cellStyle name="SAPBEXchaText 2" xfId="440" xr:uid="{00000000-0005-0000-0000-0000E7010000}"/>
    <cellStyle name="SAPBEXchaText 3" xfId="441" xr:uid="{00000000-0005-0000-0000-0000E8010000}"/>
    <cellStyle name="SAPBEXchaText 4" xfId="442" xr:uid="{00000000-0005-0000-0000-0000E9010000}"/>
    <cellStyle name="SAPBEXchaText 5" xfId="443" xr:uid="{00000000-0005-0000-0000-0000EA010000}"/>
    <cellStyle name="SAPBEXchaText 6" xfId="444" xr:uid="{00000000-0005-0000-0000-0000EB010000}"/>
    <cellStyle name="SAPBEXexcBad7" xfId="445" xr:uid="{00000000-0005-0000-0000-0000EC010000}"/>
    <cellStyle name="SAPBEXexcBad7 2" xfId="446" xr:uid="{00000000-0005-0000-0000-0000ED010000}"/>
    <cellStyle name="SAPBEXexcBad7 3" xfId="447" xr:uid="{00000000-0005-0000-0000-0000EE010000}"/>
    <cellStyle name="SAPBEXexcBad7 4" xfId="448" xr:uid="{00000000-0005-0000-0000-0000EF010000}"/>
    <cellStyle name="SAPBEXexcBad7 5" xfId="449" xr:uid="{00000000-0005-0000-0000-0000F0010000}"/>
    <cellStyle name="SAPBEXexcBad7 6" xfId="450" xr:uid="{00000000-0005-0000-0000-0000F1010000}"/>
    <cellStyle name="SAPBEXexcBad8" xfId="451" xr:uid="{00000000-0005-0000-0000-0000F2010000}"/>
    <cellStyle name="SAPBEXexcBad8 2" xfId="452" xr:uid="{00000000-0005-0000-0000-0000F3010000}"/>
    <cellStyle name="SAPBEXexcBad8 3" xfId="453" xr:uid="{00000000-0005-0000-0000-0000F4010000}"/>
    <cellStyle name="SAPBEXexcBad8 4" xfId="454" xr:uid="{00000000-0005-0000-0000-0000F5010000}"/>
    <cellStyle name="SAPBEXexcBad8 5" xfId="455" xr:uid="{00000000-0005-0000-0000-0000F6010000}"/>
    <cellStyle name="SAPBEXexcBad8 6" xfId="456" xr:uid="{00000000-0005-0000-0000-0000F7010000}"/>
    <cellStyle name="SAPBEXexcBad9" xfId="457" xr:uid="{00000000-0005-0000-0000-0000F8010000}"/>
    <cellStyle name="SAPBEXexcBad9 2" xfId="458" xr:uid="{00000000-0005-0000-0000-0000F9010000}"/>
    <cellStyle name="SAPBEXexcBad9 3" xfId="459" xr:uid="{00000000-0005-0000-0000-0000FA010000}"/>
    <cellStyle name="SAPBEXexcBad9 4" xfId="460" xr:uid="{00000000-0005-0000-0000-0000FB010000}"/>
    <cellStyle name="SAPBEXexcBad9 5" xfId="461" xr:uid="{00000000-0005-0000-0000-0000FC010000}"/>
    <cellStyle name="SAPBEXexcBad9 6" xfId="462" xr:uid="{00000000-0005-0000-0000-0000FD010000}"/>
    <cellStyle name="SAPBEXexcCritical4" xfId="463" xr:uid="{00000000-0005-0000-0000-0000FE010000}"/>
    <cellStyle name="SAPBEXexcCritical4 2" xfId="464" xr:uid="{00000000-0005-0000-0000-0000FF010000}"/>
    <cellStyle name="SAPBEXexcCritical4 3" xfId="465" xr:uid="{00000000-0005-0000-0000-000000020000}"/>
    <cellStyle name="SAPBEXexcCritical4 4" xfId="466" xr:uid="{00000000-0005-0000-0000-000001020000}"/>
    <cellStyle name="SAPBEXexcCritical4 5" xfId="467" xr:uid="{00000000-0005-0000-0000-000002020000}"/>
    <cellStyle name="SAPBEXexcCritical4 6" xfId="468" xr:uid="{00000000-0005-0000-0000-000003020000}"/>
    <cellStyle name="SAPBEXexcCritical5" xfId="469" xr:uid="{00000000-0005-0000-0000-000004020000}"/>
    <cellStyle name="SAPBEXexcCritical5 2" xfId="470" xr:uid="{00000000-0005-0000-0000-000005020000}"/>
    <cellStyle name="SAPBEXexcCritical5 3" xfId="471" xr:uid="{00000000-0005-0000-0000-000006020000}"/>
    <cellStyle name="SAPBEXexcCritical5 4" xfId="472" xr:uid="{00000000-0005-0000-0000-000007020000}"/>
    <cellStyle name="SAPBEXexcCritical5 5" xfId="473" xr:uid="{00000000-0005-0000-0000-000008020000}"/>
    <cellStyle name="SAPBEXexcCritical5 6" xfId="474" xr:uid="{00000000-0005-0000-0000-000009020000}"/>
    <cellStyle name="SAPBEXexcCritical6" xfId="475" xr:uid="{00000000-0005-0000-0000-00000A020000}"/>
    <cellStyle name="SAPBEXexcCritical6 2" xfId="476" xr:uid="{00000000-0005-0000-0000-00000B020000}"/>
    <cellStyle name="SAPBEXexcCritical6 3" xfId="477" xr:uid="{00000000-0005-0000-0000-00000C020000}"/>
    <cellStyle name="SAPBEXexcCritical6 4" xfId="478" xr:uid="{00000000-0005-0000-0000-00000D020000}"/>
    <cellStyle name="SAPBEXexcCritical6 5" xfId="479" xr:uid="{00000000-0005-0000-0000-00000E020000}"/>
    <cellStyle name="SAPBEXexcCritical6 6" xfId="480" xr:uid="{00000000-0005-0000-0000-00000F020000}"/>
    <cellStyle name="SAPBEXexcGood1" xfId="481" xr:uid="{00000000-0005-0000-0000-000010020000}"/>
    <cellStyle name="SAPBEXexcGood1 2" xfId="482" xr:uid="{00000000-0005-0000-0000-000011020000}"/>
    <cellStyle name="SAPBEXexcGood1 3" xfId="483" xr:uid="{00000000-0005-0000-0000-000012020000}"/>
    <cellStyle name="SAPBEXexcGood1 4" xfId="484" xr:uid="{00000000-0005-0000-0000-000013020000}"/>
    <cellStyle name="SAPBEXexcGood1 5" xfId="485" xr:uid="{00000000-0005-0000-0000-000014020000}"/>
    <cellStyle name="SAPBEXexcGood1 6" xfId="486" xr:uid="{00000000-0005-0000-0000-000015020000}"/>
    <cellStyle name="SAPBEXexcGood2" xfId="487" xr:uid="{00000000-0005-0000-0000-000016020000}"/>
    <cellStyle name="SAPBEXexcGood2 2" xfId="488" xr:uid="{00000000-0005-0000-0000-000017020000}"/>
    <cellStyle name="SAPBEXexcGood2 3" xfId="489" xr:uid="{00000000-0005-0000-0000-000018020000}"/>
    <cellStyle name="SAPBEXexcGood2 4" xfId="490" xr:uid="{00000000-0005-0000-0000-000019020000}"/>
    <cellStyle name="SAPBEXexcGood2 5" xfId="491" xr:uid="{00000000-0005-0000-0000-00001A020000}"/>
    <cellStyle name="SAPBEXexcGood2 6" xfId="492" xr:uid="{00000000-0005-0000-0000-00001B020000}"/>
    <cellStyle name="SAPBEXexcGood3" xfId="493" xr:uid="{00000000-0005-0000-0000-00001C020000}"/>
    <cellStyle name="SAPBEXexcGood3 2" xfId="494" xr:uid="{00000000-0005-0000-0000-00001D020000}"/>
    <cellStyle name="SAPBEXexcGood3 3" xfId="495" xr:uid="{00000000-0005-0000-0000-00001E020000}"/>
    <cellStyle name="SAPBEXexcGood3 4" xfId="496" xr:uid="{00000000-0005-0000-0000-00001F020000}"/>
    <cellStyle name="SAPBEXexcGood3 5" xfId="497" xr:uid="{00000000-0005-0000-0000-000020020000}"/>
    <cellStyle name="SAPBEXexcGood3 6" xfId="498" xr:uid="{00000000-0005-0000-0000-000021020000}"/>
    <cellStyle name="SAPBEXfilterDrill" xfId="499" xr:uid="{00000000-0005-0000-0000-000022020000}"/>
    <cellStyle name="SAPBEXfilterDrill 2" xfId="500" xr:uid="{00000000-0005-0000-0000-000023020000}"/>
    <cellStyle name="SAPBEXfilterDrill 3" xfId="501" xr:uid="{00000000-0005-0000-0000-000024020000}"/>
    <cellStyle name="SAPBEXfilterDrill 4" xfId="502" xr:uid="{00000000-0005-0000-0000-000025020000}"/>
    <cellStyle name="SAPBEXfilterDrill 5" xfId="503" xr:uid="{00000000-0005-0000-0000-000026020000}"/>
    <cellStyle name="SAPBEXfilterDrill 6" xfId="504" xr:uid="{00000000-0005-0000-0000-000027020000}"/>
    <cellStyle name="SAPBEXfilterItem" xfId="505" xr:uid="{00000000-0005-0000-0000-000028020000}"/>
    <cellStyle name="SAPBEXfilterText" xfId="506" xr:uid="{00000000-0005-0000-0000-000029020000}"/>
    <cellStyle name="SAPBEXformats" xfId="507" xr:uid="{00000000-0005-0000-0000-00002A020000}"/>
    <cellStyle name="SAPBEXformats 2" xfId="508" xr:uid="{00000000-0005-0000-0000-00002B020000}"/>
    <cellStyle name="SAPBEXformats 3" xfId="509" xr:uid="{00000000-0005-0000-0000-00002C020000}"/>
    <cellStyle name="SAPBEXformats 4" xfId="510" xr:uid="{00000000-0005-0000-0000-00002D020000}"/>
    <cellStyle name="SAPBEXformats 5" xfId="511" xr:uid="{00000000-0005-0000-0000-00002E020000}"/>
    <cellStyle name="SAPBEXformats 6" xfId="512" xr:uid="{00000000-0005-0000-0000-00002F020000}"/>
    <cellStyle name="SAPBEXheaderItem" xfId="513" xr:uid="{00000000-0005-0000-0000-000030020000}"/>
    <cellStyle name="SAPBEXheaderItem 2" xfId="514" xr:uid="{00000000-0005-0000-0000-000031020000}"/>
    <cellStyle name="SAPBEXheaderItem 3" xfId="515" xr:uid="{00000000-0005-0000-0000-000032020000}"/>
    <cellStyle name="SAPBEXheaderItem 4" xfId="516" xr:uid="{00000000-0005-0000-0000-000033020000}"/>
    <cellStyle name="SAPBEXheaderItem 5" xfId="517" xr:uid="{00000000-0005-0000-0000-000034020000}"/>
    <cellStyle name="SAPBEXheaderItem 6" xfId="518" xr:uid="{00000000-0005-0000-0000-000035020000}"/>
    <cellStyle name="SAPBEXheaderText" xfId="519" xr:uid="{00000000-0005-0000-0000-000036020000}"/>
    <cellStyle name="SAPBEXheaderText 2" xfId="520" xr:uid="{00000000-0005-0000-0000-000037020000}"/>
    <cellStyle name="SAPBEXheaderText 3" xfId="521" xr:uid="{00000000-0005-0000-0000-000038020000}"/>
    <cellStyle name="SAPBEXheaderText 4" xfId="522" xr:uid="{00000000-0005-0000-0000-000039020000}"/>
    <cellStyle name="SAPBEXheaderText 5" xfId="523" xr:uid="{00000000-0005-0000-0000-00003A020000}"/>
    <cellStyle name="SAPBEXheaderText 6" xfId="524" xr:uid="{00000000-0005-0000-0000-00003B020000}"/>
    <cellStyle name="SAPBEXHLevel0" xfId="525" xr:uid="{00000000-0005-0000-0000-00003C020000}"/>
    <cellStyle name="SAPBEXHLevel0 2" xfId="526" xr:uid="{00000000-0005-0000-0000-00003D020000}"/>
    <cellStyle name="SAPBEXHLevel0 3" xfId="527" xr:uid="{00000000-0005-0000-0000-00003E020000}"/>
    <cellStyle name="SAPBEXHLevel0 4" xfId="528" xr:uid="{00000000-0005-0000-0000-00003F020000}"/>
    <cellStyle name="SAPBEXHLevel0 5" xfId="529" xr:uid="{00000000-0005-0000-0000-000040020000}"/>
    <cellStyle name="SAPBEXHLevel0 6" xfId="530" xr:uid="{00000000-0005-0000-0000-000041020000}"/>
    <cellStyle name="SAPBEXHLevel0X" xfId="531" xr:uid="{00000000-0005-0000-0000-000042020000}"/>
    <cellStyle name="SAPBEXHLevel0X 2" xfId="532" xr:uid="{00000000-0005-0000-0000-000043020000}"/>
    <cellStyle name="SAPBEXHLevel0X 3" xfId="533" xr:uid="{00000000-0005-0000-0000-000044020000}"/>
    <cellStyle name="SAPBEXHLevel0X 4" xfId="534" xr:uid="{00000000-0005-0000-0000-000045020000}"/>
    <cellStyle name="SAPBEXHLevel0X 5" xfId="535" xr:uid="{00000000-0005-0000-0000-000046020000}"/>
    <cellStyle name="SAPBEXHLevel0X 6" xfId="536" xr:uid="{00000000-0005-0000-0000-000047020000}"/>
    <cellStyle name="SAPBEXHLevel1" xfId="537" xr:uid="{00000000-0005-0000-0000-000048020000}"/>
    <cellStyle name="SAPBEXHLevel1 2" xfId="538" xr:uid="{00000000-0005-0000-0000-000049020000}"/>
    <cellStyle name="SAPBEXHLevel1 3" xfId="539" xr:uid="{00000000-0005-0000-0000-00004A020000}"/>
    <cellStyle name="SAPBEXHLevel1 4" xfId="540" xr:uid="{00000000-0005-0000-0000-00004B020000}"/>
    <cellStyle name="SAPBEXHLevel1 5" xfId="541" xr:uid="{00000000-0005-0000-0000-00004C020000}"/>
    <cellStyle name="SAPBEXHLevel1 6" xfId="542" xr:uid="{00000000-0005-0000-0000-00004D020000}"/>
    <cellStyle name="SAPBEXHLevel1X" xfId="543" xr:uid="{00000000-0005-0000-0000-00004E020000}"/>
    <cellStyle name="SAPBEXHLevel1X 2" xfId="544" xr:uid="{00000000-0005-0000-0000-00004F020000}"/>
    <cellStyle name="SAPBEXHLevel1X 3" xfId="545" xr:uid="{00000000-0005-0000-0000-000050020000}"/>
    <cellStyle name="SAPBEXHLevel1X 4" xfId="546" xr:uid="{00000000-0005-0000-0000-000051020000}"/>
    <cellStyle name="SAPBEXHLevel1X 5" xfId="547" xr:uid="{00000000-0005-0000-0000-000052020000}"/>
    <cellStyle name="SAPBEXHLevel1X 6" xfId="548" xr:uid="{00000000-0005-0000-0000-000053020000}"/>
    <cellStyle name="SAPBEXHLevel2" xfId="549" xr:uid="{00000000-0005-0000-0000-000054020000}"/>
    <cellStyle name="SAPBEXHLevel2 2" xfId="550" xr:uid="{00000000-0005-0000-0000-000055020000}"/>
    <cellStyle name="SAPBEXHLevel2 3" xfId="551" xr:uid="{00000000-0005-0000-0000-000056020000}"/>
    <cellStyle name="SAPBEXHLevel2 4" xfId="552" xr:uid="{00000000-0005-0000-0000-000057020000}"/>
    <cellStyle name="SAPBEXHLevel2 5" xfId="553" xr:uid="{00000000-0005-0000-0000-000058020000}"/>
    <cellStyle name="SAPBEXHLevel2 6" xfId="554" xr:uid="{00000000-0005-0000-0000-000059020000}"/>
    <cellStyle name="SAPBEXHLevel2X" xfId="555" xr:uid="{00000000-0005-0000-0000-00005A020000}"/>
    <cellStyle name="SAPBEXHLevel2X 2" xfId="556" xr:uid="{00000000-0005-0000-0000-00005B020000}"/>
    <cellStyle name="SAPBEXHLevel2X 3" xfId="557" xr:uid="{00000000-0005-0000-0000-00005C020000}"/>
    <cellStyle name="SAPBEXHLevel2X 4" xfId="558" xr:uid="{00000000-0005-0000-0000-00005D020000}"/>
    <cellStyle name="SAPBEXHLevel2X 5" xfId="559" xr:uid="{00000000-0005-0000-0000-00005E020000}"/>
    <cellStyle name="SAPBEXHLevel2X 6" xfId="560" xr:uid="{00000000-0005-0000-0000-00005F020000}"/>
    <cellStyle name="SAPBEXHLevel3" xfId="561" xr:uid="{00000000-0005-0000-0000-000060020000}"/>
    <cellStyle name="SAPBEXHLevel3 2" xfId="562" xr:uid="{00000000-0005-0000-0000-000061020000}"/>
    <cellStyle name="SAPBEXHLevel3 3" xfId="563" xr:uid="{00000000-0005-0000-0000-000062020000}"/>
    <cellStyle name="SAPBEXHLevel3 4" xfId="564" xr:uid="{00000000-0005-0000-0000-000063020000}"/>
    <cellStyle name="SAPBEXHLevel3 5" xfId="565" xr:uid="{00000000-0005-0000-0000-000064020000}"/>
    <cellStyle name="SAPBEXHLevel3 6" xfId="566" xr:uid="{00000000-0005-0000-0000-000065020000}"/>
    <cellStyle name="SAPBEXHLevel3X" xfId="567" xr:uid="{00000000-0005-0000-0000-000066020000}"/>
    <cellStyle name="SAPBEXHLevel3X 2" xfId="568" xr:uid="{00000000-0005-0000-0000-000067020000}"/>
    <cellStyle name="SAPBEXHLevel3X 3" xfId="569" xr:uid="{00000000-0005-0000-0000-000068020000}"/>
    <cellStyle name="SAPBEXHLevel3X 4" xfId="570" xr:uid="{00000000-0005-0000-0000-000069020000}"/>
    <cellStyle name="SAPBEXHLevel3X 5" xfId="571" xr:uid="{00000000-0005-0000-0000-00006A020000}"/>
    <cellStyle name="SAPBEXHLevel3X 6" xfId="572" xr:uid="{00000000-0005-0000-0000-00006B020000}"/>
    <cellStyle name="SAPBEXinputData" xfId="573" xr:uid="{00000000-0005-0000-0000-00006C020000}"/>
    <cellStyle name="SAPBEXinputData 2" xfId="574" xr:uid="{00000000-0005-0000-0000-00006D020000}"/>
    <cellStyle name="SAPBEXinputData 3" xfId="575" xr:uid="{00000000-0005-0000-0000-00006E020000}"/>
    <cellStyle name="SAPBEXinputData 4" xfId="576" xr:uid="{00000000-0005-0000-0000-00006F020000}"/>
    <cellStyle name="SAPBEXinputData 5" xfId="577" xr:uid="{00000000-0005-0000-0000-000070020000}"/>
    <cellStyle name="SAPBEXinputData 6" xfId="578" xr:uid="{00000000-0005-0000-0000-000071020000}"/>
    <cellStyle name="SAPBEXItemHeader" xfId="579" xr:uid="{00000000-0005-0000-0000-000072020000}"/>
    <cellStyle name="SAPBEXresData" xfId="580" xr:uid="{00000000-0005-0000-0000-000073020000}"/>
    <cellStyle name="SAPBEXresDataEmph" xfId="581" xr:uid="{00000000-0005-0000-0000-000074020000}"/>
    <cellStyle name="SAPBEXresItem" xfId="582" xr:uid="{00000000-0005-0000-0000-000075020000}"/>
    <cellStyle name="SAPBEXresItemX" xfId="583" xr:uid="{00000000-0005-0000-0000-000076020000}"/>
    <cellStyle name="SAPBEXstdData" xfId="584" xr:uid="{00000000-0005-0000-0000-000077020000}"/>
    <cellStyle name="SAPBEXstdData 2" xfId="585" xr:uid="{00000000-0005-0000-0000-000078020000}"/>
    <cellStyle name="SAPBEXstdData 3" xfId="586" xr:uid="{00000000-0005-0000-0000-000079020000}"/>
    <cellStyle name="SAPBEXstdData 4" xfId="587" xr:uid="{00000000-0005-0000-0000-00007A020000}"/>
    <cellStyle name="SAPBEXstdData 5" xfId="588" xr:uid="{00000000-0005-0000-0000-00007B020000}"/>
    <cellStyle name="SAPBEXstdData 6" xfId="589" xr:uid="{00000000-0005-0000-0000-00007C020000}"/>
    <cellStyle name="SAPBEXstdDataEmph" xfId="590" xr:uid="{00000000-0005-0000-0000-00007D020000}"/>
    <cellStyle name="SAPBEXstdItem" xfId="591" xr:uid="{00000000-0005-0000-0000-00007E020000}"/>
    <cellStyle name="SAPBEXstdItem 2" xfId="592" xr:uid="{00000000-0005-0000-0000-00007F020000}"/>
    <cellStyle name="SAPBEXstdItem 3" xfId="593" xr:uid="{00000000-0005-0000-0000-000080020000}"/>
    <cellStyle name="SAPBEXstdItem 4" xfId="594" xr:uid="{00000000-0005-0000-0000-000081020000}"/>
    <cellStyle name="SAPBEXstdItem 5" xfId="595" xr:uid="{00000000-0005-0000-0000-000082020000}"/>
    <cellStyle name="SAPBEXstdItem 6" xfId="596" xr:uid="{00000000-0005-0000-0000-000083020000}"/>
    <cellStyle name="SAPBEXstdItemX" xfId="597" xr:uid="{00000000-0005-0000-0000-000084020000}"/>
    <cellStyle name="SAPBEXtitle" xfId="598" xr:uid="{00000000-0005-0000-0000-000085020000}"/>
    <cellStyle name="SAPBEXunassignedItem" xfId="599" xr:uid="{00000000-0005-0000-0000-000086020000}"/>
    <cellStyle name="SAPBEXunassignedItem 2" xfId="600" xr:uid="{00000000-0005-0000-0000-000087020000}"/>
    <cellStyle name="SAPBEXunassignedItem 3" xfId="601" xr:uid="{00000000-0005-0000-0000-000088020000}"/>
    <cellStyle name="SAPBEXunassignedItem 4" xfId="602" xr:uid="{00000000-0005-0000-0000-000089020000}"/>
    <cellStyle name="SAPBEXunassignedItem 5" xfId="603" xr:uid="{00000000-0005-0000-0000-00008A020000}"/>
    <cellStyle name="SAPBEXunassignedItem 6" xfId="604" xr:uid="{00000000-0005-0000-0000-00008B020000}"/>
    <cellStyle name="SAPBEXundefined" xfId="605" xr:uid="{00000000-0005-0000-0000-00008C020000}"/>
    <cellStyle name="Separador de milhares 2" xfId="606" xr:uid="{00000000-0005-0000-0000-00008D020000}"/>
    <cellStyle name="Separador de milhares 2 2" xfId="607" xr:uid="{00000000-0005-0000-0000-00008E020000}"/>
    <cellStyle name="Separador de milhares 2 2 2" xfId="608" xr:uid="{00000000-0005-0000-0000-00008F020000}"/>
    <cellStyle name="Separador de milhares 2 2 2 2" xfId="798" xr:uid="{00000000-0005-0000-0000-000065020000}"/>
    <cellStyle name="Separador de milhares 2 2 2 2 2" xfId="826" xr:uid="{00000000-0005-0000-0000-000066020000}"/>
    <cellStyle name="Separador de milhares 2 2 3" xfId="609" xr:uid="{00000000-0005-0000-0000-000090020000}"/>
    <cellStyle name="Separador de milhares 2 2 3 2" xfId="799" xr:uid="{00000000-0005-0000-0000-000068020000}"/>
    <cellStyle name="Separador de milhares 2 2 3 2 2" xfId="827" xr:uid="{00000000-0005-0000-0000-000069020000}"/>
    <cellStyle name="Separador de milhares 2 2 4" xfId="610" xr:uid="{00000000-0005-0000-0000-000091020000}"/>
    <cellStyle name="Separador de milhares 2 2 4 2" xfId="800" xr:uid="{00000000-0005-0000-0000-00006B020000}"/>
    <cellStyle name="Separador de milhares 2 2 4 2 2" xfId="828" xr:uid="{00000000-0005-0000-0000-00006C020000}"/>
    <cellStyle name="Separador de milhares 2 2 5" xfId="797" xr:uid="{00000000-0005-0000-0000-00006D020000}"/>
    <cellStyle name="Separador de milhares 2 2 5 2" xfId="825" xr:uid="{00000000-0005-0000-0000-00006E020000}"/>
    <cellStyle name="Separador de milhares 2 3" xfId="611" xr:uid="{00000000-0005-0000-0000-000092020000}"/>
    <cellStyle name="Separador de milhares 2 3 2" xfId="801" xr:uid="{00000000-0005-0000-0000-000070020000}"/>
    <cellStyle name="Separador de milhares 2 3 2 2" xfId="829" xr:uid="{00000000-0005-0000-0000-000071020000}"/>
    <cellStyle name="Separador de milhares 2 4" xfId="612" xr:uid="{00000000-0005-0000-0000-000093020000}"/>
    <cellStyle name="Separador de milhares 2 4 2" xfId="802" xr:uid="{00000000-0005-0000-0000-000073020000}"/>
    <cellStyle name="Separador de milhares 2 4 2 2" xfId="830" xr:uid="{00000000-0005-0000-0000-000074020000}"/>
    <cellStyle name="Separador de milhares 2 5" xfId="613" xr:uid="{00000000-0005-0000-0000-000094020000}"/>
    <cellStyle name="Separador de milhares 2 5 2" xfId="803" xr:uid="{00000000-0005-0000-0000-000076020000}"/>
    <cellStyle name="Separador de milhares 2 5 2 2" xfId="831" xr:uid="{00000000-0005-0000-0000-000077020000}"/>
    <cellStyle name="Separador de milhares 2 6" xfId="614" xr:uid="{00000000-0005-0000-0000-000095020000}"/>
    <cellStyle name="Separador de milhares 2 6 2" xfId="804" xr:uid="{00000000-0005-0000-0000-000079020000}"/>
    <cellStyle name="Separador de milhares 2 6 2 2" xfId="832" xr:uid="{00000000-0005-0000-0000-00007A020000}"/>
    <cellStyle name="Separador de milhares 2 7" xfId="615" xr:uid="{00000000-0005-0000-0000-000096020000}"/>
    <cellStyle name="Separador de milhares 2 7 2" xfId="805" xr:uid="{00000000-0005-0000-0000-00007C020000}"/>
    <cellStyle name="Separador de milhares 2 7 2 2" xfId="833" xr:uid="{00000000-0005-0000-0000-00007D020000}"/>
    <cellStyle name="Separador de milhares 2 8" xfId="616" xr:uid="{00000000-0005-0000-0000-000097020000}"/>
    <cellStyle name="Separador de milhares 2 8 2" xfId="806" xr:uid="{00000000-0005-0000-0000-00007F020000}"/>
    <cellStyle name="Separador de milhares 2 8 2 2" xfId="834" xr:uid="{00000000-0005-0000-0000-000080020000}"/>
    <cellStyle name="Separador de milhares 2 9" xfId="796" xr:uid="{00000000-0005-0000-0000-000081020000}"/>
    <cellStyle name="Separador de milhares 2 9 2" xfId="824" xr:uid="{00000000-0005-0000-0000-000082020000}"/>
    <cellStyle name="Separador de milhares 4" xfId="617" xr:uid="{00000000-0005-0000-0000-000098020000}"/>
    <cellStyle name="Separador de milhares 4 2" xfId="807" xr:uid="{00000000-0005-0000-0000-000084020000}"/>
    <cellStyle name="Separador de milhares 4 2 2" xfId="835" xr:uid="{00000000-0005-0000-0000-000085020000}"/>
    <cellStyle name="Separador de milhares 5" xfId="618" xr:uid="{00000000-0005-0000-0000-000099020000}"/>
    <cellStyle name="Separador de milhares 5 2" xfId="808" xr:uid="{00000000-0005-0000-0000-000087020000}"/>
    <cellStyle name="Separador de milhares 5 2 2" xfId="836" xr:uid="{00000000-0005-0000-0000-000088020000}"/>
    <cellStyle name="Sheet Title" xfId="619" xr:uid="{00000000-0005-0000-0000-00009A020000}"/>
    <cellStyle name="Texto de Aviso 2" xfId="620" xr:uid="{00000000-0005-0000-0000-00009B020000}"/>
    <cellStyle name="Texto de Aviso 2 2" xfId="621" xr:uid="{00000000-0005-0000-0000-00009C020000}"/>
    <cellStyle name="Texto de Aviso 2 3" xfId="622" xr:uid="{00000000-0005-0000-0000-00009D020000}"/>
    <cellStyle name="Texto de Aviso 2 4" xfId="623" xr:uid="{00000000-0005-0000-0000-00009E020000}"/>
    <cellStyle name="Texto de Aviso 2 5" xfId="624" xr:uid="{00000000-0005-0000-0000-00009F020000}"/>
    <cellStyle name="Texto de Aviso 2 6" xfId="625" xr:uid="{00000000-0005-0000-0000-0000A0020000}"/>
    <cellStyle name="Texto de Aviso 3" xfId="626" xr:uid="{00000000-0005-0000-0000-0000A1020000}"/>
    <cellStyle name="Texto de Aviso 3 2" xfId="627" xr:uid="{00000000-0005-0000-0000-0000A2020000}"/>
    <cellStyle name="Texto de Aviso 3 3" xfId="628" xr:uid="{00000000-0005-0000-0000-0000A3020000}"/>
    <cellStyle name="Texto de Aviso 3 4" xfId="629" xr:uid="{00000000-0005-0000-0000-0000A4020000}"/>
    <cellStyle name="Texto de Aviso 3 5" xfId="630" xr:uid="{00000000-0005-0000-0000-0000A5020000}"/>
    <cellStyle name="Texto de Aviso 3 6" xfId="631" xr:uid="{00000000-0005-0000-0000-0000A6020000}"/>
    <cellStyle name="Texto de Aviso 4" xfId="632" xr:uid="{00000000-0005-0000-0000-0000A7020000}"/>
    <cellStyle name="Texto de Aviso 4 2" xfId="633" xr:uid="{00000000-0005-0000-0000-0000A8020000}"/>
    <cellStyle name="Texto de Aviso 4 3" xfId="634" xr:uid="{00000000-0005-0000-0000-0000A9020000}"/>
    <cellStyle name="Texto de Aviso 4 4" xfId="635" xr:uid="{00000000-0005-0000-0000-0000AA020000}"/>
    <cellStyle name="Texto de Aviso 4 5" xfId="636" xr:uid="{00000000-0005-0000-0000-0000AB020000}"/>
    <cellStyle name="Texto de Aviso 4 6" xfId="637" xr:uid="{00000000-0005-0000-0000-0000AC020000}"/>
    <cellStyle name="Texto de Aviso 5" xfId="638" xr:uid="{00000000-0005-0000-0000-0000AD020000}"/>
    <cellStyle name="Texto de Aviso 5 2" xfId="639" xr:uid="{00000000-0005-0000-0000-0000AE020000}"/>
    <cellStyle name="Texto de Aviso 5 3" xfId="640" xr:uid="{00000000-0005-0000-0000-0000AF020000}"/>
    <cellStyle name="Texto de Aviso 5 4" xfId="641" xr:uid="{00000000-0005-0000-0000-0000B0020000}"/>
    <cellStyle name="Texto de Aviso 5 5" xfId="642" xr:uid="{00000000-0005-0000-0000-0000B1020000}"/>
    <cellStyle name="Texto de Aviso 5 6" xfId="643" xr:uid="{00000000-0005-0000-0000-0000B2020000}"/>
    <cellStyle name="Título 1 2" xfId="644" xr:uid="{00000000-0005-0000-0000-0000B3020000}"/>
    <cellStyle name="Título 1 2 2" xfId="645" xr:uid="{00000000-0005-0000-0000-0000B4020000}"/>
    <cellStyle name="Título 1 2 3" xfId="646" xr:uid="{00000000-0005-0000-0000-0000B5020000}"/>
    <cellStyle name="Título 1 2 4" xfId="647" xr:uid="{00000000-0005-0000-0000-0000B6020000}"/>
    <cellStyle name="Título 1 2 5" xfId="648" xr:uid="{00000000-0005-0000-0000-0000B7020000}"/>
    <cellStyle name="Título 1 2 6" xfId="649" xr:uid="{00000000-0005-0000-0000-0000B8020000}"/>
    <cellStyle name="Título 1 3" xfId="650" xr:uid="{00000000-0005-0000-0000-0000B9020000}"/>
    <cellStyle name="Título 1 3 2" xfId="651" xr:uid="{00000000-0005-0000-0000-0000BA020000}"/>
    <cellStyle name="Título 1 3 3" xfId="652" xr:uid="{00000000-0005-0000-0000-0000BB020000}"/>
    <cellStyle name="Título 1 3 4" xfId="653" xr:uid="{00000000-0005-0000-0000-0000BC020000}"/>
    <cellStyle name="Título 1 3 5" xfId="654" xr:uid="{00000000-0005-0000-0000-0000BD020000}"/>
    <cellStyle name="Título 1 3 6" xfId="655" xr:uid="{00000000-0005-0000-0000-0000BE020000}"/>
    <cellStyle name="Título 1 4" xfId="656" xr:uid="{00000000-0005-0000-0000-0000BF020000}"/>
    <cellStyle name="Título 1 4 2" xfId="657" xr:uid="{00000000-0005-0000-0000-0000C0020000}"/>
    <cellStyle name="Título 1 4 3" xfId="658" xr:uid="{00000000-0005-0000-0000-0000C1020000}"/>
    <cellStyle name="Título 1 4 4" xfId="659" xr:uid="{00000000-0005-0000-0000-0000C2020000}"/>
    <cellStyle name="Título 1 4 5" xfId="660" xr:uid="{00000000-0005-0000-0000-0000C3020000}"/>
    <cellStyle name="Título 1 4 6" xfId="661" xr:uid="{00000000-0005-0000-0000-0000C4020000}"/>
    <cellStyle name="Título 1 5" xfId="662" xr:uid="{00000000-0005-0000-0000-0000C5020000}"/>
    <cellStyle name="Título 1 5 2" xfId="663" xr:uid="{00000000-0005-0000-0000-0000C6020000}"/>
    <cellStyle name="Título 1 5 3" xfId="664" xr:uid="{00000000-0005-0000-0000-0000C7020000}"/>
    <cellStyle name="Título 1 5 4" xfId="665" xr:uid="{00000000-0005-0000-0000-0000C8020000}"/>
    <cellStyle name="Título 1 5 5" xfId="666" xr:uid="{00000000-0005-0000-0000-0000C9020000}"/>
    <cellStyle name="Título 1 5 6" xfId="667" xr:uid="{00000000-0005-0000-0000-0000CA020000}"/>
    <cellStyle name="Título 2 2" xfId="668" xr:uid="{00000000-0005-0000-0000-0000CB020000}"/>
    <cellStyle name="Título 2 2 2" xfId="669" xr:uid="{00000000-0005-0000-0000-0000CC020000}"/>
    <cellStyle name="Título 2 2 3" xfId="670" xr:uid="{00000000-0005-0000-0000-0000CD020000}"/>
    <cellStyle name="Título 2 2 4" xfId="671" xr:uid="{00000000-0005-0000-0000-0000CE020000}"/>
    <cellStyle name="Título 2 2 5" xfId="672" xr:uid="{00000000-0005-0000-0000-0000CF020000}"/>
    <cellStyle name="Título 2 2 6" xfId="673" xr:uid="{00000000-0005-0000-0000-0000D0020000}"/>
    <cellStyle name="Título 2 3" xfId="674" xr:uid="{00000000-0005-0000-0000-0000D1020000}"/>
    <cellStyle name="Título 2 3 2" xfId="675" xr:uid="{00000000-0005-0000-0000-0000D2020000}"/>
    <cellStyle name="Título 2 3 3" xfId="676" xr:uid="{00000000-0005-0000-0000-0000D3020000}"/>
    <cellStyle name="Título 2 3 4" xfId="677" xr:uid="{00000000-0005-0000-0000-0000D4020000}"/>
    <cellStyle name="Título 2 3 5" xfId="678" xr:uid="{00000000-0005-0000-0000-0000D5020000}"/>
    <cellStyle name="Título 2 3 6" xfId="679" xr:uid="{00000000-0005-0000-0000-0000D6020000}"/>
    <cellStyle name="Título 2 4" xfId="680" xr:uid="{00000000-0005-0000-0000-0000D7020000}"/>
    <cellStyle name="Título 2 4 2" xfId="681" xr:uid="{00000000-0005-0000-0000-0000D8020000}"/>
    <cellStyle name="Título 2 4 3" xfId="682" xr:uid="{00000000-0005-0000-0000-0000D9020000}"/>
    <cellStyle name="Título 2 4 4" xfId="683" xr:uid="{00000000-0005-0000-0000-0000DA020000}"/>
    <cellStyle name="Título 2 4 5" xfId="684" xr:uid="{00000000-0005-0000-0000-0000DB020000}"/>
    <cellStyle name="Título 2 4 6" xfId="685" xr:uid="{00000000-0005-0000-0000-0000DC020000}"/>
    <cellStyle name="Título 2 5" xfId="686" xr:uid="{00000000-0005-0000-0000-0000DD020000}"/>
    <cellStyle name="Título 2 5 2" xfId="687" xr:uid="{00000000-0005-0000-0000-0000DE020000}"/>
    <cellStyle name="Título 2 5 3" xfId="688" xr:uid="{00000000-0005-0000-0000-0000DF020000}"/>
    <cellStyle name="Título 2 5 4" xfId="689" xr:uid="{00000000-0005-0000-0000-0000E0020000}"/>
    <cellStyle name="Título 2 5 5" xfId="690" xr:uid="{00000000-0005-0000-0000-0000E1020000}"/>
    <cellStyle name="Título 2 5 6" xfId="691" xr:uid="{00000000-0005-0000-0000-0000E2020000}"/>
    <cellStyle name="Título 3 2" xfId="692" xr:uid="{00000000-0005-0000-0000-0000E3020000}"/>
    <cellStyle name="Título 3 2 2" xfId="693" xr:uid="{00000000-0005-0000-0000-0000E4020000}"/>
    <cellStyle name="Título 3 2 3" xfId="694" xr:uid="{00000000-0005-0000-0000-0000E5020000}"/>
    <cellStyle name="Título 3 2 4" xfId="695" xr:uid="{00000000-0005-0000-0000-0000E6020000}"/>
    <cellStyle name="Título 3 2 5" xfId="696" xr:uid="{00000000-0005-0000-0000-0000E7020000}"/>
    <cellStyle name="Título 3 2 6" xfId="697" xr:uid="{00000000-0005-0000-0000-0000E8020000}"/>
    <cellStyle name="Título 3 3" xfId="698" xr:uid="{00000000-0005-0000-0000-0000E9020000}"/>
    <cellStyle name="Título 3 3 2" xfId="699" xr:uid="{00000000-0005-0000-0000-0000EA020000}"/>
    <cellStyle name="Título 3 3 3" xfId="700" xr:uid="{00000000-0005-0000-0000-0000EB020000}"/>
    <cellStyle name="Título 3 3 4" xfId="701" xr:uid="{00000000-0005-0000-0000-0000EC020000}"/>
    <cellStyle name="Título 3 3 5" xfId="702" xr:uid="{00000000-0005-0000-0000-0000ED020000}"/>
    <cellStyle name="Título 3 3 6" xfId="703" xr:uid="{00000000-0005-0000-0000-0000EE020000}"/>
    <cellStyle name="Título 3 4" xfId="704" xr:uid="{00000000-0005-0000-0000-0000EF020000}"/>
    <cellStyle name="Título 3 4 2" xfId="705" xr:uid="{00000000-0005-0000-0000-0000F0020000}"/>
    <cellStyle name="Título 3 4 3" xfId="706" xr:uid="{00000000-0005-0000-0000-0000F1020000}"/>
    <cellStyle name="Título 3 4 4" xfId="707" xr:uid="{00000000-0005-0000-0000-0000F2020000}"/>
    <cellStyle name="Título 3 4 5" xfId="708" xr:uid="{00000000-0005-0000-0000-0000F3020000}"/>
    <cellStyle name="Título 3 4 6" xfId="709" xr:uid="{00000000-0005-0000-0000-0000F4020000}"/>
    <cellStyle name="Título 3 5" xfId="710" xr:uid="{00000000-0005-0000-0000-0000F5020000}"/>
    <cellStyle name="Título 3 5 2" xfId="711" xr:uid="{00000000-0005-0000-0000-0000F6020000}"/>
    <cellStyle name="Título 3 5 3" xfId="712" xr:uid="{00000000-0005-0000-0000-0000F7020000}"/>
    <cellStyle name="Título 3 5 4" xfId="713" xr:uid="{00000000-0005-0000-0000-0000F8020000}"/>
    <cellStyle name="Título 3 5 5" xfId="714" xr:uid="{00000000-0005-0000-0000-0000F9020000}"/>
    <cellStyle name="Título 3 5 6" xfId="715" xr:uid="{00000000-0005-0000-0000-0000FA020000}"/>
    <cellStyle name="Título 4 2" xfId="716" xr:uid="{00000000-0005-0000-0000-0000FB020000}"/>
    <cellStyle name="Título 4 2 2" xfId="717" xr:uid="{00000000-0005-0000-0000-0000FC020000}"/>
    <cellStyle name="Título 4 2 3" xfId="718" xr:uid="{00000000-0005-0000-0000-0000FD020000}"/>
    <cellStyle name="Título 4 2 4" xfId="719" xr:uid="{00000000-0005-0000-0000-0000FE020000}"/>
    <cellStyle name="Título 4 2 5" xfId="720" xr:uid="{00000000-0005-0000-0000-0000FF020000}"/>
    <cellStyle name="Título 4 2 6" xfId="721" xr:uid="{00000000-0005-0000-0000-000000030000}"/>
    <cellStyle name="Título 4 3" xfId="722" xr:uid="{00000000-0005-0000-0000-000001030000}"/>
    <cellStyle name="Título 4 3 2" xfId="723" xr:uid="{00000000-0005-0000-0000-000002030000}"/>
    <cellStyle name="Título 4 3 3" xfId="724" xr:uid="{00000000-0005-0000-0000-000003030000}"/>
    <cellStyle name="Título 4 3 4" xfId="725" xr:uid="{00000000-0005-0000-0000-000004030000}"/>
    <cellStyle name="Título 4 3 5" xfId="726" xr:uid="{00000000-0005-0000-0000-000005030000}"/>
    <cellStyle name="Título 4 3 6" xfId="727" xr:uid="{00000000-0005-0000-0000-000006030000}"/>
    <cellStyle name="Título 4 4" xfId="728" xr:uid="{00000000-0005-0000-0000-000007030000}"/>
    <cellStyle name="Título 4 4 2" xfId="729" xr:uid="{00000000-0005-0000-0000-000008030000}"/>
    <cellStyle name="Título 4 4 3" xfId="730" xr:uid="{00000000-0005-0000-0000-000009030000}"/>
    <cellStyle name="Título 4 4 4" xfId="731" xr:uid="{00000000-0005-0000-0000-00000A030000}"/>
    <cellStyle name="Título 4 4 5" xfId="732" xr:uid="{00000000-0005-0000-0000-00000B030000}"/>
    <cellStyle name="Título 4 4 6" xfId="733" xr:uid="{00000000-0005-0000-0000-00000C030000}"/>
    <cellStyle name="Título 4 5" xfId="734" xr:uid="{00000000-0005-0000-0000-00000D030000}"/>
    <cellStyle name="Título 4 5 2" xfId="735" xr:uid="{00000000-0005-0000-0000-00000E030000}"/>
    <cellStyle name="Título 4 5 3" xfId="736" xr:uid="{00000000-0005-0000-0000-00000F030000}"/>
    <cellStyle name="Título 4 5 4" xfId="737" xr:uid="{00000000-0005-0000-0000-000010030000}"/>
    <cellStyle name="Título 4 5 5" xfId="738" xr:uid="{00000000-0005-0000-0000-000011030000}"/>
    <cellStyle name="Título 4 5 6" xfId="739" xr:uid="{00000000-0005-0000-0000-000012030000}"/>
    <cellStyle name="Total 2" xfId="740" xr:uid="{00000000-0005-0000-0000-000013030000}"/>
    <cellStyle name="Total 2 2" xfId="741" xr:uid="{00000000-0005-0000-0000-000014030000}"/>
    <cellStyle name="Total 2 3" xfId="742" xr:uid="{00000000-0005-0000-0000-000015030000}"/>
    <cellStyle name="Total 2 4" xfId="743" xr:uid="{00000000-0005-0000-0000-000016030000}"/>
    <cellStyle name="Total 2 5" xfId="744" xr:uid="{00000000-0005-0000-0000-000017030000}"/>
    <cellStyle name="Total 2 6" xfId="745" xr:uid="{00000000-0005-0000-0000-000018030000}"/>
    <cellStyle name="Total 3" xfId="746" xr:uid="{00000000-0005-0000-0000-000019030000}"/>
    <cellStyle name="Total 3 2" xfId="747" xr:uid="{00000000-0005-0000-0000-00001A030000}"/>
    <cellStyle name="Total 3 3" xfId="748" xr:uid="{00000000-0005-0000-0000-00001B030000}"/>
    <cellStyle name="Total 3 4" xfId="749" xr:uid="{00000000-0005-0000-0000-00001C030000}"/>
    <cellStyle name="Total 3 5" xfId="750" xr:uid="{00000000-0005-0000-0000-00001D030000}"/>
    <cellStyle name="Total 3 6" xfId="751" xr:uid="{00000000-0005-0000-0000-00001E030000}"/>
    <cellStyle name="Total 4" xfId="752" xr:uid="{00000000-0005-0000-0000-00001F030000}"/>
    <cellStyle name="Total 4 2" xfId="753" xr:uid="{00000000-0005-0000-0000-000020030000}"/>
    <cellStyle name="Total 4 3" xfId="754" xr:uid="{00000000-0005-0000-0000-000021030000}"/>
    <cellStyle name="Total 4 4" xfId="755" xr:uid="{00000000-0005-0000-0000-000022030000}"/>
    <cellStyle name="Total 4 5" xfId="756" xr:uid="{00000000-0005-0000-0000-000023030000}"/>
    <cellStyle name="Total 4 6" xfId="757" xr:uid="{00000000-0005-0000-0000-000024030000}"/>
    <cellStyle name="Total 5" xfId="758" xr:uid="{00000000-0005-0000-0000-000025030000}"/>
    <cellStyle name="Total 5 2" xfId="759" xr:uid="{00000000-0005-0000-0000-000026030000}"/>
    <cellStyle name="Total 5 3" xfId="760" xr:uid="{00000000-0005-0000-0000-000027030000}"/>
    <cellStyle name="Total 5 4" xfId="761" xr:uid="{00000000-0005-0000-0000-000028030000}"/>
    <cellStyle name="Total 5 5" xfId="762" xr:uid="{00000000-0005-0000-0000-000029030000}"/>
    <cellStyle name="Total 5 6" xfId="763" xr:uid="{00000000-0005-0000-0000-00002A030000}"/>
    <cellStyle name="Vírgula" xfId="2" builtinId="3"/>
    <cellStyle name="Vírgula 10" xfId="853" xr:uid="{00000000-0005-0000-0000-000083030000}"/>
    <cellStyle name="Vírgula 11" xfId="899" xr:uid="{8CD9E079-C038-4D78-8606-23C9956C17C9}"/>
    <cellStyle name="Vírgula 12" xfId="903" xr:uid="{33E6B623-F04E-4181-A762-689C9B039A7F}"/>
    <cellStyle name="Vírgula 2" xfId="4" xr:uid="{00000000-0005-0000-0000-000011000000}"/>
    <cellStyle name="Vírgula 2 2" xfId="8" xr:uid="{00000000-0005-0000-0000-000012000000}"/>
    <cellStyle name="Vírgula 2 2 2" xfId="23" xr:uid="{D4BEE576-5A47-4CC9-9053-A5AA8FEA50EA}"/>
    <cellStyle name="Vírgula 2 3" xfId="11" xr:uid="{00000000-0005-0000-0000-000013000000}"/>
    <cellStyle name="Vírgula 2 4" xfId="12" xr:uid="{00000000-0005-0000-0000-000014000000}"/>
    <cellStyle name="Vírgula 2 5" xfId="783" xr:uid="{5BC4F056-B281-492D-B2E9-68312BCD8418}"/>
    <cellStyle name="Vírgula 3" xfId="6" xr:uid="{00000000-0005-0000-0000-000015000000}"/>
    <cellStyle name="Vírgula 3 2" xfId="14" xr:uid="{00000000-0005-0000-0000-000016000000}"/>
    <cellStyle name="Vírgula 3 2 2" xfId="769" xr:uid="{00000000-0005-0000-0000-000016000000}"/>
    <cellStyle name="Vírgula 3 2 2 2" xfId="885" xr:uid="{00000000-0005-0000-0000-000016000000}"/>
    <cellStyle name="Vírgula 3 2 3" xfId="862" xr:uid="{00000000-0005-0000-0000-000016000000}"/>
    <cellStyle name="Vírgula 3 3" xfId="765" xr:uid="{00000000-0005-0000-0000-000015000000}"/>
    <cellStyle name="Vírgula 3 3 2" xfId="881" xr:uid="{00000000-0005-0000-0000-000015000000}"/>
    <cellStyle name="Vírgula 3 4" xfId="858" xr:uid="{00000000-0005-0000-0000-000015000000}"/>
    <cellStyle name="Vírgula 4" xfId="22" xr:uid="{47892008-9B96-45D3-90CC-C2908F56DF25}"/>
    <cellStyle name="Vírgula 4 2" xfId="775" xr:uid="{47892008-9B96-45D3-90CC-C2908F56DF25}"/>
    <cellStyle name="Vírgula 4 2 2" xfId="891" xr:uid="{47892008-9B96-45D3-90CC-C2908F56DF25}"/>
    <cellStyle name="Vírgula 4 3" xfId="868" xr:uid="{47892008-9B96-45D3-90CC-C2908F56DF25}"/>
    <cellStyle name="Vírgula 5" xfId="26" xr:uid="{9B496794-689B-4F33-9E3F-EB96790C5240}"/>
    <cellStyle name="Vírgula 5 2" xfId="871" xr:uid="{9B496794-689B-4F33-9E3F-EB96790C5240}"/>
    <cellStyle name="Vírgula 6" xfId="778" xr:uid="{E15F3CF4-4E95-4E58-B294-B214E23FF35F}"/>
    <cellStyle name="Vírgula 6 2" xfId="894" xr:uid="{E15F3CF4-4E95-4E58-B294-B214E23FF35F}"/>
    <cellStyle name="Vírgula 7" xfId="780" xr:uid="{729D11E3-84C9-4811-812E-A110B938106A}"/>
    <cellStyle name="Vírgula 7 2" xfId="896" xr:uid="{729D11E3-84C9-4811-812E-A110B938106A}"/>
    <cellStyle name="Vírgula 8" xfId="782" xr:uid="{00000000-0005-0000-0000-00003B030000}"/>
    <cellStyle name="Vírgula 9" xfId="851" xr:uid="{4ED8D620-E9AA-4D51-B0DD-9C86B821CC02}"/>
    <cellStyle name="Vírgula 9 2" xfId="856" xr:uid="{17376F26-90A8-4670-AAB7-B733204FAE96}"/>
  </cellStyles>
  <dxfs count="539"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3399"/>
      <rgbColor rgb="00BDDEFF"/>
      <rgbColor rgb="00660066"/>
      <rgbColor rgb="00FF8080"/>
      <rgbColor rgb="000066CC"/>
      <rgbColor rgb="00CCCCFF"/>
      <rgbColor rgb="00000080"/>
      <rgbColor rgb="00FF00FF"/>
      <rgbColor rgb="00FFFF00"/>
      <rgbColor rgb="00B2D5E6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9200"/>
      <color rgb="FFFFFF66"/>
      <color rgb="FF005CA9"/>
      <color rgb="FF00FFCC"/>
      <color rgb="FFFFFF99"/>
      <color rgb="FF54BBAB"/>
      <color rgb="FFB8CCE4"/>
      <color rgb="FF95B3D7"/>
      <color rgb="FFDCE6F1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42333</xdr:colOff>
      <xdr:row>239</xdr:row>
      <xdr:rowOff>74081</xdr:rowOff>
    </xdr:from>
    <xdr:to>
      <xdr:col>11</xdr:col>
      <xdr:colOff>2416298</xdr:colOff>
      <xdr:row>246</xdr:row>
      <xdr:rowOff>83606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5808" y="38774156"/>
          <a:ext cx="237172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42333</xdr:colOff>
      <xdr:row>239</xdr:row>
      <xdr:rowOff>74081</xdr:rowOff>
    </xdr:from>
    <xdr:to>
      <xdr:col>18</xdr:col>
      <xdr:colOff>542924</xdr:colOff>
      <xdr:row>246</xdr:row>
      <xdr:rowOff>83606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9666" y="38015331"/>
          <a:ext cx="2380191" cy="112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072696\Documents\DF_CXPAR\2T20\3.DFC_DMPL_DV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C"/>
      <sheetName val="DMPL_A"/>
      <sheetName val="DMPL_B"/>
      <sheetName val="DVA"/>
      <sheetName val="jun-20"/>
      <sheetName val="mai-20"/>
      <sheetName val="abr-20"/>
      <sheetName val="mar-20"/>
      <sheetName val="fev-20"/>
      <sheetName val="jan-20"/>
      <sheetName val="dez-19"/>
      <sheetName val="nov-19"/>
      <sheetName val="out-19"/>
      <sheetName val="set-19"/>
      <sheetName val="ago-19"/>
      <sheetName val="jul-19"/>
      <sheetName val="jun-19"/>
      <sheetName val="mai-19"/>
      <sheetName val="abr-19"/>
      <sheetName val="mar-19"/>
      <sheetName val="fev-19"/>
      <sheetName val="jan-19"/>
      <sheetName val="dez-18"/>
      <sheetName val="nov-18"/>
      <sheetName val="out-18"/>
      <sheetName val="set-18"/>
      <sheetName val="ago-18"/>
      <sheetName val="jul-18"/>
      <sheetName val="jun-18"/>
      <sheetName val="mai-18"/>
      <sheetName val="abr-18"/>
      <sheetName val="mar-18"/>
      <sheetName val="fev-18"/>
      <sheetName val="jan-18"/>
      <sheetName val="dez-17"/>
      <sheetName val="nov-17"/>
      <sheetName val="out-17"/>
      <sheetName val="set-17"/>
      <sheetName val="ago-17"/>
      <sheetName val="jul-17"/>
      <sheetName val="jun-17"/>
      <sheetName val="mai-17"/>
      <sheetName val="abr-17"/>
      <sheetName val="mar-17"/>
      <sheetName val="fev-17"/>
      <sheetName val="jan-17"/>
      <sheetName val="Aux"/>
    </sheetNames>
    <sheetDataSet>
      <sheetData sheetId="0">
        <row r="2">
          <cell r="E2" t="str">
            <v>Demonstração dos Fluxos de Caixa</v>
          </cell>
        </row>
      </sheetData>
      <sheetData sheetId="1"/>
      <sheetData sheetId="2"/>
      <sheetData sheetId="3">
        <row r="2">
          <cell r="L2" t="str">
            <v>R$ mil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8">
          <cell r="B38" t="str">
            <v>01</v>
          </cell>
        </row>
        <row r="39">
          <cell r="B39" t="str">
            <v>02</v>
          </cell>
        </row>
        <row r="40">
          <cell r="B40" t="str">
            <v>04</v>
          </cell>
        </row>
        <row r="41">
          <cell r="B41" t="str">
            <v>05</v>
          </cell>
        </row>
        <row r="42">
          <cell r="B42" t="str">
            <v>06</v>
          </cell>
        </row>
        <row r="43">
          <cell r="B43" t="str">
            <v>07</v>
          </cell>
        </row>
        <row r="44">
          <cell r="B44" t="str">
            <v>12</v>
          </cell>
        </row>
        <row r="45">
          <cell r="B45" t="str">
            <v>15</v>
          </cell>
        </row>
        <row r="46">
          <cell r="B46" t="str">
            <v>16</v>
          </cell>
        </row>
        <row r="47">
          <cell r="B47" t="str">
            <v>19</v>
          </cell>
        </row>
        <row r="48">
          <cell r="B48" t="str">
            <v>20</v>
          </cell>
        </row>
        <row r="49">
          <cell r="B49" t="str">
            <v>27</v>
          </cell>
        </row>
        <row r="50">
          <cell r="B50" t="str">
            <v>28</v>
          </cell>
        </row>
        <row r="51">
          <cell r="B51" t="str">
            <v>29</v>
          </cell>
        </row>
        <row r="52">
          <cell r="B52" t="str">
            <v>58</v>
          </cell>
        </row>
        <row r="53">
          <cell r="B53" t="str">
            <v>67</v>
          </cell>
        </row>
        <row r="54">
          <cell r="B54" t="str">
            <v>68</v>
          </cell>
        </row>
        <row r="55">
          <cell r="B55" t="str">
            <v>69</v>
          </cell>
        </row>
        <row r="56">
          <cell r="B56" t="str">
            <v>70</v>
          </cell>
        </row>
        <row r="57">
          <cell r="B57" t="str">
            <v>71</v>
          </cell>
        </row>
        <row r="58">
          <cell r="B58" t="str">
            <v>72</v>
          </cell>
        </row>
        <row r="59">
          <cell r="B59" t="str">
            <v>73</v>
          </cell>
        </row>
        <row r="60">
          <cell r="B60" t="str">
            <v>77</v>
          </cell>
        </row>
        <row r="61">
          <cell r="B61" t="str">
            <v>78</v>
          </cell>
        </row>
        <row r="62">
          <cell r="B62" t="str">
            <v>79</v>
          </cell>
        </row>
        <row r="63">
          <cell r="B63" t="str">
            <v>81</v>
          </cell>
        </row>
        <row r="64">
          <cell r="B64" t="str">
            <v>83</v>
          </cell>
        </row>
        <row r="65">
          <cell r="B65" t="str">
            <v>84</v>
          </cell>
        </row>
        <row r="66">
          <cell r="B66" t="str">
            <v>87</v>
          </cell>
        </row>
        <row r="67">
          <cell r="B67" t="str">
            <v>88</v>
          </cell>
        </row>
        <row r="68">
          <cell r="B68" t="str">
            <v>91</v>
          </cell>
        </row>
        <row r="69">
          <cell r="B69" t="str">
            <v>92</v>
          </cell>
        </row>
        <row r="70">
          <cell r="B70" t="str">
            <v>93</v>
          </cell>
        </row>
        <row r="71">
          <cell r="B71" t="str">
            <v>99</v>
          </cell>
        </row>
        <row r="72">
          <cell r="B72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G421"/>
  <sheetViews>
    <sheetView topLeftCell="A130" workbookViewId="0">
      <selection activeCell="F144" sqref="F144"/>
    </sheetView>
  </sheetViews>
  <sheetFormatPr defaultRowHeight="12.75"/>
  <cols>
    <col min="1" max="1" width="18.140625" bestFit="1" customWidth="1"/>
    <col min="2" max="2" width="3.85546875" bestFit="1" customWidth="1"/>
    <col min="3" max="3" width="65.85546875" bestFit="1" customWidth="1"/>
    <col min="4" max="4" width="33" customWidth="1"/>
    <col min="5" max="5" width="7.7109375" customWidth="1"/>
    <col min="6" max="6" width="17.28515625" bestFit="1" customWidth="1"/>
    <col min="7" max="7" width="15.140625" bestFit="1" customWidth="1"/>
  </cols>
  <sheetData>
    <row r="1" spans="1:5">
      <c r="A1" s="45" t="s">
        <v>650</v>
      </c>
      <c r="B1" t="s">
        <v>651</v>
      </c>
      <c r="C1" t="s">
        <v>710</v>
      </c>
      <c r="D1" t="s">
        <v>711</v>
      </c>
      <c r="E1" t="s">
        <v>712</v>
      </c>
    </row>
    <row r="2" spans="1:5">
      <c r="A2" s="47">
        <v>0.65390046296296289</v>
      </c>
      <c r="C2" t="s">
        <v>713</v>
      </c>
      <c r="D2" t="s">
        <v>714</v>
      </c>
    </row>
    <row r="3" spans="1:5">
      <c r="A3" s="45" t="s">
        <v>652</v>
      </c>
      <c r="B3" t="s">
        <v>653</v>
      </c>
      <c r="C3" t="s">
        <v>715</v>
      </c>
      <c r="D3" t="s">
        <v>716</v>
      </c>
    </row>
    <row r="4" spans="1:5">
      <c r="A4" s="45" t="s">
        <v>617</v>
      </c>
      <c r="B4" t="s">
        <v>618</v>
      </c>
      <c r="C4" t="s">
        <v>717</v>
      </c>
      <c r="D4" t="s">
        <v>718</v>
      </c>
    </row>
    <row r="5" spans="1:5">
      <c r="A5" s="45" t="s">
        <v>619</v>
      </c>
      <c r="B5" t="s">
        <v>620</v>
      </c>
      <c r="C5" t="s">
        <v>621</v>
      </c>
    </row>
    <row r="6" spans="1:5">
      <c r="A6" s="45" t="s">
        <v>617</v>
      </c>
      <c r="B6" t="s">
        <v>618</v>
      </c>
      <c r="C6" t="s">
        <v>717</v>
      </c>
      <c r="D6" t="s">
        <v>718</v>
      </c>
    </row>
    <row r="7" spans="1:5">
      <c r="A7" s="45"/>
      <c r="D7" s="2"/>
    </row>
    <row r="8" spans="1:5">
      <c r="A8" s="45">
        <v>1</v>
      </c>
      <c r="B8">
        <v>-7</v>
      </c>
      <c r="C8" t="s">
        <v>346</v>
      </c>
      <c r="D8" s="2">
        <v>1641432710.99</v>
      </c>
    </row>
    <row r="9" spans="1:5">
      <c r="A9" s="45" t="s">
        <v>315</v>
      </c>
      <c r="B9">
        <v>-4</v>
      </c>
      <c r="C9" t="s">
        <v>347</v>
      </c>
      <c r="D9" s="2">
        <v>276.11</v>
      </c>
    </row>
    <row r="10" spans="1:5">
      <c r="A10" s="45" t="s">
        <v>348</v>
      </c>
      <c r="B10">
        <v>-2</v>
      </c>
      <c r="C10" t="s">
        <v>349</v>
      </c>
      <c r="D10">
        <v>224.13</v>
      </c>
    </row>
    <row r="11" spans="1:5">
      <c r="A11" s="45" t="s">
        <v>350</v>
      </c>
      <c r="B11">
        <v>0</v>
      </c>
      <c r="C11" t="s">
        <v>351</v>
      </c>
      <c r="D11">
        <v>224.13</v>
      </c>
    </row>
    <row r="12" spans="1:5">
      <c r="A12" s="45" t="s">
        <v>352</v>
      </c>
      <c r="B12">
        <v>-5</v>
      </c>
      <c r="C12" t="s">
        <v>351</v>
      </c>
      <c r="D12">
        <v>224.13</v>
      </c>
    </row>
    <row r="13" spans="1:5">
      <c r="A13" s="45" t="s">
        <v>353</v>
      </c>
      <c r="B13">
        <v>-3</v>
      </c>
      <c r="C13" t="s">
        <v>370</v>
      </c>
      <c r="D13">
        <v>224.13</v>
      </c>
    </row>
    <row r="14" spans="1:5">
      <c r="A14" s="45" t="s">
        <v>354</v>
      </c>
      <c r="B14">
        <v>0</v>
      </c>
      <c r="C14" t="s">
        <v>355</v>
      </c>
      <c r="D14" s="2">
        <v>51.98</v>
      </c>
    </row>
    <row r="15" spans="1:5">
      <c r="A15" s="45" t="s">
        <v>356</v>
      </c>
      <c r="B15">
        <v>-2</v>
      </c>
      <c r="C15" t="s">
        <v>371</v>
      </c>
      <c r="D15" s="2">
        <v>51.98</v>
      </c>
    </row>
    <row r="16" spans="1:5">
      <c r="A16" s="45" t="s">
        <v>357</v>
      </c>
      <c r="B16">
        <v>-8</v>
      </c>
      <c r="C16" t="s">
        <v>371</v>
      </c>
      <c r="D16" s="2">
        <v>51.98</v>
      </c>
    </row>
    <row r="17" spans="1:4">
      <c r="A17" s="45" t="s">
        <v>358</v>
      </c>
      <c r="B17">
        <v>-6</v>
      </c>
      <c r="C17" t="s">
        <v>371</v>
      </c>
      <c r="D17" s="2">
        <v>51.98</v>
      </c>
    </row>
    <row r="18" spans="1:4">
      <c r="A18" s="45" t="s">
        <v>316</v>
      </c>
      <c r="B18">
        <v>-1</v>
      </c>
      <c r="C18" t="s">
        <v>359</v>
      </c>
      <c r="D18" s="2">
        <v>93987063.079999998</v>
      </c>
    </row>
    <row r="19" spans="1:4">
      <c r="A19" s="45" t="s">
        <v>360</v>
      </c>
      <c r="B19">
        <v>0</v>
      </c>
      <c r="C19" t="s">
        <v>361</v>
      </c>
      <c r="D19" s="2">
        <v>93987063.079999998</v>
      </c>
    </row>
    <row r="20" spans="1:4">
      <c r="A20" s="45" t="s">
        <v>362</v>
      </c>
      <c r="B20">
        <v>-3</v>
      </c>
      <c r="C20" t="s">
        <v>363</v>
      </c>
      <c r="D20" s="2">
        <v>93987063.079999998</v>
      </c>
    </row>
    <row r="21" spans="1:4">
      <c r="A21" s="45" t="s">
        <v>372</v>
      </c>
      <c r="B21">
        <v>-8</v>
      </c>
      <c r="C21" t="s">
        <v>373</v>
      </c>
      <c r="D21" s="2">
        <v>93987063.079999998</v>
      </c>
    </row>
    <row r="22" spans="1:4">
      <c r="A22" s="45" t="s">
        <v>374</v>
      </c>
      <c r="B22">
        <v>-9</v>
      </c>
      <c r="C22" t="s">
        <v>375</v>
      </c>
      <c r="D22" s="2">
        <v>93987063.079999998</v>
      </c>
    </row>
    <row r="23" spans="1:4">
      <c r="A23" s="45" t="s">
        <v>365</v>
      </c>
      <c r="B23">
        <v>-9</v>
      </c>
      <c r="C23" t="s">
        <v>366</v>
      </c>
      <c r="D23" s="2">
        <v>1354076882.9100001</v>
      </c>
    </row>
    <row r="24" spans="1:4">
      <c r="A24" s="45" t="s">
        <v>367</v>
      </c>
      <c r="B24">
        <v>-7</v>
      </c>
      <c r="C24" t="s">
        <v>368</v>
      </c>
      <c r="D24" s="2">
        <v>1354076882.9100001</v>
      </c>
    </row>
    <row r="25" spans="1:4">
      <c r="A25" s="45" t="s">
        <v>318</v>
      </c>
      <c r="B25">
        <v>0</v>
      </c>
      <c r="C25" t="s">
        <v>0</v>
      </c>
      <c r="D25" s="2">
        <v>293016857.47000003</v>
      </c>
    </row>
    <row r="26" spans="1:4">
      <c r="A26" s="45" t="s">
        <v>1</v>
      </c>
      <c r="B26">
        <v>-7</v>
      </c>
      <c r="C26" t="s">
        <v>2</v>
      </c>
      <c r="D26" s="2">
        <v>293016857.47000003</v>
      </c>
    </row>
    <row r="27" spans="1:4">
      <c r="A27" s="45" t="s">
        <v>3</v>
      </c>
      <c r="B27">
        <v>-5</v>
      </c>
      <c r="C27" t="s">
        <v>376</v>
      </c>
      <c r="D27" s="2">
        <v>293016857.47000003</v>
      </c>
    </row>
    <row r="28" spans="1:4">
      <c r="A28" s="45" t="s">
        <v>377</v>
      </c>
      <c r="B28">
        <v>-3</v>
      </c>
      <c r="C28" t="s">
        <v>378</v>
      </c>
      <c r="D28" s="2">
        <v>313424219.36000001</v>
      </c>
    </row>
    <row r="29" spans="1:4">
      <c r="A29" s="45" t="s">
        <v>379</v>
      </c>
      <c r="B29">
        <v>-6</v>
      </c>
      <c r="C29" t="s">
        <v>380</v>
      </c>
      <c r="D29" s="2">
        <v>313424219.36000001</v>
      </c>
    </row>
    <row r="30" spans="1:4">
      <c r="A30" s="45" t="s">
        <v>381</v>
      </c>
      <c r="B30">
        <v>-4</v>
      </c>
      <c r="C30" t="s">
        <v>382</v>
      </c>
      <c r="D30" s="2">
        <v>313424219.36000001</v>
      </c>
    </row>
    <row r="31" spans="1:4">
      <c r="A31" s="45" t="s">
        <v>317</v>
      </c>
      <c r="B31">
        <v>-4</v>
      </c>
      <c r="C31" t="s">
        <v>4</v>
      </c>
      <c r="D31" s="2">
        <v>747635806.08000004</v>
      </c>
    </row>
    <row r="32" spans="1:4">
      <c r="A32" s="45" t="s">
        <v>5</v>
      </c>
      <c r="B32">
        <v>0</v>
      </c>
      <c r="C32" t="s">
        <v>6</v>
      </c>
      <c r="D32" s="2">
        <v>747635806.08000004</v>
      </c>
    </row>
    <row r="33" spans="1:4">
      <c r="A33" s="45" t="s">
        <v>7</v>
      </c>
      <c r="B33">
        <v>-7</v>
      </c>
      <c r="C33" t="s">
        <v>383</v>
      </c>
      <c r="D33" s="2">
        <v>747635806.08000004</v>
      </c>
    </row>
    <row r="34" spans="1:4">
      <c r="A34" s="45" t="s">
        <v>12</v>
      </c>
      <c r="B34">
        <v>-5</v>
      </c>
      <c r="C34" t="s">
        <v>13</v>
      </c>
      <c r="D34" s="2">
        <v>193368488.88999999</v>
      </c>
    </row>
    <row r="35" spans="1:4">
      <c r="A35" s="45" t="s">
        <v>319</v>
      </c>
      <c r="B35">
        <v>0</v>
      </c>
      <c r="C35" t="s">
        <v>14</v>
      </c>
      <c r="D35" s="2">
        <v>193288193.13999999</v>
      </c>
    </row>
    <row r="36" spans="1:4">
      <c r="A36" s="45" t="s">
        <v>15</v>
      </c>
      <c r="B36">
        <v>-1</v>
      </c>
      <c r="C36" t="s">
        <v>16</v>
      </c>
      <c r="D36" s="2">
        <v>193288193.13999999</v>
      </c>
    </row>
    <row r="37" spans="1:4">
      <c r="A37" s="45" t="s">
        <v>17</v>
      </c>
      <c r="B37">
        <v>-3</v>
      </c>
      <c r="C37" t="s">
        <v>384</v>
      </c>
      <c r="D37" s="2">
        <v>193288193.13999999</v>
      </c>
    </row>
    <row r="38" spans="1:4">
      <c r="A38" s="45" t="s">
        <v>18</v>
      </c>
      <c r="B38">
        <v>-1</v>
      </c>
      <c r="C38" t="s">
        <v>385</v>
      </c>
      <c r="D38" s="2">
        <v>59850844.119999997</v>
      </c>
    </row>
    <row r="39" spans="1:4">
      <c r="A39" s="45" t="s">
        <v>19</v>
      </c>
      <c r="B39">
        <v>0</v>
      </c>
      <c r="C39" t="s">
        <v>386</v>
      </c>
      <c r="D39" s="2">
        <v>133437349.02</v>
      </c>
    </row>
    <row r="40" spans="1:4">
      <c r="A40" s="45" t="s">
        <v>320</v>
      </c>
      <c r="B40">
        <v>0</v>
      </c>
      <c r="C40" t="s">
        <v>20</v>
      </c>
      <c r="D40" s="2">
        <v>80295.75</v>
      </c>
    </row>
    <row r="41" spans="1:4">
      <c r="A41" s="45" t="s">
        <v>21</v>
      </c>
      <c r="B41">
        <v>0</v>
      </c>
      <c r="C41" t="s">
        <v>22</v>
      </c>
      <c r="D41" s="2">
        <v>38130.57</v>
      </c>
    </row>
    <row r="42" spans="1:4">
      <c r="A42" s="45" t="s">
        <v>23</v>
      </c>
      <c r="B42">
        <v>-4</v>
      </c>
      <c r="C42" t="s">
        <v>387</v>
      </c>
      <c r="D42" s="2">
        <v>38130.57</v>
      </c>
    </row>
    <row r="43" spans="1:4">
      <c r="A43" s="45" t="s">
        <v>24</v>
      </c>
      <c r="B43">
        <v>-2</v>
      </c>
      <c r="C43" t="s">
        <v>388</v>
      </c>
      <c r="D43" s="2">
        <v>28037.18</v>
      </c>
    </row>
    <row r="44" spans="1:4">
      <c r="A44" s="45" t="s">
        <v>25</v>
      </c>
      <c r="B44">
        <v>0</v>
      </c>
      <c r="C44" t="s">
        <v>389</v>
      </c>
      <c r="D44" s="2">
        <v>10093.39</v>
      </c>
    </row>
    <row r="45" spans="1:4">
      <c r="A45" s="45" t="s">
        <v>302</v>
      </c>
      <c r="B45">
        <v>-2</v>
      </c>
      <c r="C45" t="s">
        <v>303</v>
      </c>
      <c r="D45" s="2">
        <v>42165.18</v>
      </c>
    </row>
    <row r="46" spans="1:4">
      <c r="A46" s="45" t="s">
        <v>304</v>
      </c>
      <c r="B46">
        <v>-7</v>
      </c>
      <c r="C46" t="s">
        <v>303</v>
      </c>
      <c r="D46" s="2">
        <v>42165.18</v>
      </c>
    </row>
    <row r="47" spans="1:4">
      <c r="A47" s="45" t="s">
        <v>305</v>
      </c>
      <c r="B47">
        <v>-4</v>
      </c>
      <c r="C47" t="s">
        <v>398</v>
      </c>
      <c r="D47" s="2">
        <v>42165.18</v>
      </c>
    </row>
    <row r="48" spans="1:4">
      <c r="A48" s="45">
        <v>2</v>
      </c>
      <c r="B48">
        <v>-3</v>
      </c>
      <c r="C48" t="s">
        <v>622</v>
      </c>
      <c r="D48" s="2">
        <v>4542095578.6999998</v>
      </c>
    </row>
    <row r="49" spans="1:4">
      <c r="A49" s="45" t="s">
        <v>321</v>
      </c>
      <c r="B49">
        <v>0</v>
      </c>
      <c r="C49" t="s">
        <v>28</v>
      </c>
      <c r="D49" s="2">
        <v>4542095503.6999998</v>
      </c>
    </row>
    <row r="50" spans="1:4">
      <c r="A50" s="45" t="s">
        <v>29</v>
      </c>
      <c r="B50">
        <v>-7</v>
      </c>
      <c r="C50" t="s">
        <v>30</v>
      </c>
      <c r="D50" s="2">
        <v>4542095503.6999998</v>
      </c>
    </row>
    <row r="51" spans="1:4">
      <c r="A51" s="45" t="s">
        <v>31</v>
      </c>
      <c r="B51">
        <v>0</v>
      </c>
      <c r="C51" t="s">
        <v>32</v>
      </c>
      <c r="D51" s="2">
        <v>4542095503.6999998</v>
      </c>
    </row>
    <row r="52" spans="1:4">
      <c r="A52" s="47" t="s">
        <v>268</v>
      </c>
      <c r="B52">
        <v>-2</v>
      </c>
      <c r="C52" t="s">
        <v>399</v>
      </c>
      <c r="D52" s="2">
        <v>1469201224.8</v>
      </c>
    </row>
    <row r="53" spans="1:4">
      <c r="A53" s="45" t="s">
        <v>269</v>
      </c>
      <c r="B53">
        <v>0</v>
      </c>
      <c r="C53" t="s">
        <v>590</v>
      </c>
      <c r="D53" s="2">
        <v>1470153863.99</v>
      </c>
    </row>
    <row r="54" spans="1:4">
      <c r="A54" s="45" t="s">
        <v>654</v>
      </c>
      <c r="B54">
        <v>-9</v>
      </c>
      <c r="C54" t="s">
        <v>655</v>
      </c>
      <c r="D54" s="2">
        <v>-952639.19</v>
      </c>
    </row>
    <row r="55" spans="1:4">
      <c r="A55" s="45" t="s">
        <v>270</v>
      </c>
      <c r="B55">
        <v>-9</v>
      </c>
      <c r="C55" t="s">
        <v>400</v>
      </c>
      <c r="D55" s="2">
        <v>176358000</v>
      </c>
    </row>
    <row r="56" spans="1:4">
      <c r="A56" s="45" t="s">
        <v>271</v>
      </c>
      <c r="B56">
        <v>-7</v>
      </c>
      <c r="C56" t="s">
        <v>401</v>
      </c>
      <c r="D56" s="2">
        <v>176358000</v>
      </c>
    </row>
    <row r="57" spans="1:4">
      <c r="A57" s="45" t="s">
        <v>272</v>
      </c>
      <c r="B57">
        <v>-1</v>
      </c>
      <c r="C57" t="s">
        <v>402</v>
      </c>
      <c r="D57" s="2">
        <v>35837622.100000001</v>
      </c>
    </row>
    <row r="58" spans="1:4">
      <c r="A58" s="45" t="s">
        <v>273</v>
      </c>
      <c r="B58">
        <v>0</v>
      </c>
      <c r="C58" t="s">
        <v>403</v>
      </c>
      <c r="D58" s="2">
        <v>162276000</v>
      </c>
    </row>
    <row r="59" spans="1:4">
      <c r="A59" s="45" t="s">
        <v>274</v>
      </c>
      <c r="B59">
        <v>-8</v>
      </c>
      <c r="C59" t="s">
        <v>404</v>
      </c>
      <c r="D59" s="2">
        <v>-126438377.90000001</v>
      </c>
    </row>
    <row r="60" spans="1:4">
      <c r="A60" s="45" t="s">
        <v>275</v>
      </c>
      <c r="B60">
        <v>-8</v>
      </c>
      <c r="C60" t="s">
        <v>276</v>
      </c>
      <c r="D60" s="2">
        <v>2638564418.52</v>
      </c>
    </row>
    <row r="61" spans="1:4">
      <c r="A61" s="45" t="s">
        <v>277</v>
      </c>
      <c r="B61">
        <v>-6</v>
      </c>
      <c r="C61" t="s">
        <v>591</v>
      </c>
      <c r="D61" s="2">
        <v>2437270845.73</v>
      </c>
    </row>
    <row r="62" spans="1:4">
      <c r="A62" s="45" t="s">
        <v>278</v>
      </c>
      <c r="B62">
        <v>-4</v>
      </c>
      <c r="C62" t="s">
        <v>405</v>
      </c>
      <c r="D62" s="2">
        <v>14930652.029999999</v>
      </c>
    </row>
    <row r="63" spans="1:4">
      <c r="A63" s="45" t="s">
        <v>279</v>
      </c>
      <c r="B63">
        <v>-2</v>
      </c>
      <c r="C63" t="s">
        <v>406</v>
      </c>
      <c r="D63" s="2">
        <v>6880514.5099999998</v>
      </c>
    </row>
    <row r="64" spans="1:4">
      <c r="A64" s="45" t="s">
        <v>407</v>
      </c>
      <c r="B64">
        <v>0</v>
      </c>
      <c r="C64" t="s">
        <v>408</v>
      </c>
      <c r="D64" s="2">
        <v>37063734.409999996</v>
      </c>
    </row>
    <row r="65" spans="1:7">
      <c r="A65" s="45" t="s">
        <v>280</v>
      </c>
      <c r="B65">
        <v>0</v>
      </c>
      <c r="C65" t="s">
        <v>409</v>
      </c>
      <c r="D65" s="2">
        <v>1840770.2</v>
      </c>
      <c r="F65" s="48"/>
    </row>
    <row r="66" spans="1:7">
      <c r="A66" s="45" t="s">
        <v>281</v>
      </c>
      <c r="B66">
        <v>-9</v>
      </c>
      <c r="C66" t="s">
        <v>410</v>
      </c>
      <c r="D66" s="2">
        <v>2.5</v>
      </c>
      <c r="F66" s="2"/>
    </row>
    <row r="67" spans="1:7">
      <c r="A67" s="45" t="s">
        <v>282</v>
      </c>
      <c r="B67">
        <v>-7</v>
      </c>
      <c r="C67" t="s">
        <v>411</v>
      </c>
      <c r="D67" s="2">
        <v>32708898.859999999</v>
      </c>
      <c r="F67" s="48"/>
    </row>
    <row r="68" spans="1:7">
      <c r="A68" s="45" t="s">
        <v>283</v>
      </c>
      <c r="B68">
        <v>-5</v>
      </c>
      <c r="C68" t="s">
        <v>412</v>
      </c>
      <c r="D68" s="2">
        <v>18994.2</v>
      </c>
    </row>
    <row r="69" spans="1:7">
      <c r="A69" s="45" t="s">
        <v>284</v>
      </c>
      <c r="B69">
        <v>-1</v>
      </c>
      <c r="C69" t="s">
        <v>413</v>
      </c>
      <c r="D69" s="2">
        <v>61471779.280000001</v>
      </c>
    </row>
    <row r="70" spans="1:7">
      <c r="A70" s="45" t="s">
        <v>414</v>
      </c>
      <c r="B70">
        <v>0</v>
      </c>
      <c r="C70" t="s">
        <v>623</v>
      </c>
      <c r="D70" s="2">
        <v>1010953.34</v>
      </c>
    </row>
    <row r="71" spans="1:7">
      <c r="A71" s="45" t="s">
        <v>723</v>
      </c>
      <c r="B71">
        <v>-8</v>
      </c>
      <c r="C71" t="s">
        <v>724</v>
      </c>
      <c r="D71" s="2">
        <v>20900845.739999998</v>
      </c>
    </row>
    <row r="72" spans="1:7">
      <c r="A72" s="45" t="s">
        <v>624</v>
      </c>
      <c r="B72">
        <v>-6</v>
      </c>
      <c r="C72" t="s">
        <v>625</v>
      </c>
      <c r="D72" s="2">
        <v>24466427.719999999</v>
      </c>
    </row>
    <row r="73" spans="1:7">
      <c r="A73" s="45" t="s">
        <v>285</v>
      </c>
      <c r="B73">
        <v>-4</v>
      </c>
      <c r="C73" t="s">
        <v>416</v>
      </c>
      <c r="D73" s="2">
        <v>79314858.280000001</v>
      </c>
    </row>
    <row r="74" spans="1:7">
      <c r="A74" s="45" t="s">
        <v>286</v>
      </c>
      <c r="B74">
        <v>-2</v>
      </c>
      <c r="C74" t="s">
        <v>417</v>
      </c>
      <c r="D74" s="2">
        <v>79281286</v>
      </c>
    </row>
    <row r="75" spans="1:7">
      <c r="A75" s="45" t="s">
        <v>725</v>
      </c>
      <c r="B75">
        <v>0</v>
      </c>
      <c r="C75" t="s">
        <v>726</v>
      </c>
      <c r="D75" s="2">
        <v>33572.28</v>
      </c>
    </row>
    <row r="76" spans="1:7">
      <c r="A76" s="45" t="s">
        <v>287</v>
      </c>
      <c r="B76">
        <v>-7</v>
      </c>
      <c r="C76" t="s">
        <v>418</v>
      </c>
      <c r="D76" s="2">
        <v>142819380</v>
      </c>
    </row>
    <row r="77" spans="1:7">
      <c r="A77" s="45" t="s">
        <v>288</v>
      </c>
      <c r="B77">
        <v>-5</v>
      </c>
      <c r="C77" t="s">
        <v>419</v>
      </c>
      <c r="D77" s="2">
        <v>190425840</v>
      </c>
      <c r="G77" s="48"/>
    </row>
    <row r="78" spans="1:7">
      <c r="A78" s="45" t="s">
        <v>289</v>
      </c>
      <c r="B78">
        <v>-3</v>
      </c>
      <c r="C78" t="s">
        <v>420</v>
      </c>
      <c r="D78" s="2">
        <v>-47606460</v>
      </c>
      <c r="G78" s="48"/>
    </row>
    <row r="79" spans="1:7">
      <c r="A79" s="45" t="s">
        <v>322</v>
      </c>
      <c r="B79">
        <v>-8</v>
      </c>
      <c r="C79" t="s">
        <v>33</v>
      </c>
      <c r="D79" s="2">
        <v>75</v>
      </c>
      <c r="G79" s="2"/>
    </row>
    <row r="80" spans="1:7">
      <c r="A80" s="45" t="s">
        <v>34</v>
      </c>
      <c r="B80">
        <v>0</v>
      </c>
      <c r="C80" t="s">
        <v>35</v>
      </c>
      <c r="D80" s="2">
        <v>75</v>
      </c>
    </row>
    <row r="81" spans="1:4">
      <c r="A81" s="45" t="s">
        <v>421</v>
      </c>
      <c r="B81">
        <v>-8</v>
      </c>
      <c r="C81" t="s">
        <v>422</v>
      </c>
      <c r="D81" s="2">
        <v>1500</v>
      </c>
    </row>
    <row r="82" spans="1:4">
      <c r="A82" s="45" t="s">
        <v>423</v>
      </c>
      <c r="B82">
        <v>0</v>
      </c>
      <c r="C82" t="s">
        <v>424</v>
      </c>
      <c r="D82" s="2">
        <v>1500</v>
      </c>
    </row>
    <row r="83" spans="1:4">
      <c r="A83" s="45" t="s">
        <v>425</v>
      </c>
      <c r="B83">
        <v>-9</v>
      </c>
      <c r="C83" t="s">
        <v>424</v>
      </c>
      <c r="D83" s="2">
        <v>1500</v>
      </c>
    </row>
    <row r="84" spans="1:4">
      <c r="A84" s="45" t="s">
        <v>36</v>
      </c>
      <c r="B84">
        <v>-4</v>
      </c>
      <c r="C84" t="s">
        <v>37</v>
      </c>
      <c r="D84" s="2">
        <v>-1425</v>
      </c>
    </row>
    <row r="85" spans="1:4">
      <c r="A85" s="45" t="s">
        <v>38</v>
      </c>
      <c r="B85">
        <v>0</v>
      </c>
      <c r="C85" t="s">
        <v>426</v>
      </c>
      <c r="D85" s="2">
        <v>-1425</v>
      </c>
    </row>
    <row r="86" spans="1:4">
      <c r="A86" s="45" t="s">
        <v>39</v>
      </c>
      <c r="B86">
        <v>-4</v>
      </c>
      <c r="C86" t="s">
        <v>427</v>
      </c>
      <c r="D86" s="2">
        <v>-1425</v>
      </c>
    </row>
    <row r="87" spans="1:4">
      <c r="A87" s="45">
        <v>3</v>
      </c>
      <c r="B87">
        <v>0</v>
      </c>
      <c r="C87" t="s">
        <v>626</v>
      </c>
      <c r="D87" s="2">
        <v>74647059.890000001</v>
      </c>
    </row>
    <row r="88" spans="1:4">
      <c r="A88" s="45" t="s">
        <v>627</v>
      </c>
      <c r="B88">
        <v>0</v>
      </c>
      <c r="C88" t="s">
        <v>626</v>
      </c>
      <c r="D88" s="2">
        <v>74647059.890000001</v>
      </c>
    </row>
    <row r="89" spans="1:4">
      <c r="A89" s="45" t="s">
        <v>628</v>
      </c>
      <c r="B89">
        <v>-3</v>
      </c>
      <c r="C89" t="s">
        <v>629</v>
      </c>
      <c r="D89" s="2">
        <v>74647059.890000001</v>
      </c>
    </row>
    <row r="90" spans="1:4">
      <c r="A90" s="47" t="s">
        <v>630</v>
      </c>
      <c r="B90">
        <v>-7</v>
      </c>
      <c r="C90" t="s">
        <v>631</v>
      </c>
      <c r="D90" s="2">
        <v>74647059.890000001</v>
      </c>
    </row>
    <row r="91" spans="1:4">
      <c r="A91" s="45" t="s">
        <v>632</v>
      </c>
      <c r="B91">
        <v>-3</v>
      </c>
      <c r="C91" t="s">
        <v>631</v>
      </c>
      <c r="D91" s="2">
        <v>74647059.890000001</v>
      </c>
    </row>
    <row r="92" spans="1:4">
      <c r="A92" s="45" t="s">
        <v>633</v>
      </c>
      <c r="B92">
        <v>-8</v>
      </c>
      <c r="C92" t="s">
        <v>634</v>
      </c>
      <c r="D92" s="2">
        <v>35006416.810000002</v>
      </c>
    </row>
    <row r="93" spans="1:4">
      <c r="A93" s="45" t="s">
        <v>635</v>
      </c>
      <c r="B93">
        <v>-6</v>
      </c>
      <c r="C93" t="s">
        <v>636</v>
      </c>
      <c r="D93" s="2">
        <v>39640643.079999998</v>
      </c>
    </row>
    <row r="94" spans="1:4">
      <c r="A94" s="45">
        <v>8</v>
      </c>
      <c r="B94">
        <v>-1</v>
      </c>
      <c r="C94" t="s">
        <v>40</v>
      </c>
      <c r="D94" s="2">
        <v>246432966.33000001</v>
      </c>
    </row>
    <row r="95" spans="1:4">
      <c r="A95" s="45" t="s">
        <v>41</v>
      </c>
      <c r="B95">
        <v>-9</v>
      </c>
      <c r="C95" t="s">
        <v>42</v>
      </c>
      <c r="D95" s="2">
        <v>208354145.44999999</v>
      </c>
    </row>
    <row r="96" spans="1:4">
      <c r="A96" s="45" t="s">
        <v>334</v>
      </c>
      <c r="B96">
        <v>-8</v>
      </c>
      <c r="C96" t="s">
        <v>43</v>
      </c>
      <c r="D96" s="2">
        <v>179937188.61000001</v>
      </c>
    </row>
    <row r="97" spans="1:4">
      <c r="A97" s="45" t="s">
        <v>44</v>
      </c>
      <c r="B97">
        <v>-5</v>
      </c>
      <c r="C97" t="s">
        <v>45</v>
      </c>
      <c r="D97" s="2">
        <v>179937188.61000001</v>
      </c>
    </row>
    <row r="98" spans="1:4">
      <c r="A98" s="45" t="s">
        <v>46</v>
      </c>
      <c r="B98">
        <v>0</v>
      </c>
      <c r="C98" t="s">
        <v>47</v>
      </c>
      <c r="D98" s="2">
        <v>179937188.61000001</v>
      </c>
    </row>
    <row r="99" spans="1:4">
      <c r="A99" s="45" t="s">
        <v>48</v>
      </c>
      <c r="B99">
        <v>-5</v>
      </c>
      <c r="C99" t="s">
        <v>428</v>
      </c>
      <c r="D99" s="2">
        <v>154639990.65000001</v>
      </c>
    </row>
    <row r="100" spans="1:4">
      <c r="A100" s="45" t="s">
        <v>49</v>
      </c>
      <c r="B100">
        <v>-3</v>
      </c>
      <c r="C100" t="s">
        <v>429</v>
      </c>
      <c r="D100" s="2">
        <v>22132358.16</v>
      </c>
    </row>
    <row r="101" spans="1:4">
      <c r="A101" s="45" t="s">
        <v>50</v>
      </c>
      <c r="B101">
        <v>-2</v>
      </c>
      <c r="C101" t="s">
        <v>430</v>
      </c>
      <c r="D101" s="2">
        <v>3164839.8</v>
      </c>
    </row>
    <row r="102" spans="1:4">
      <c r="A102" s="45" t="s">
        <v>51</v>
      </c>
      <c r="B102">
        <v>-6</v>
      </c>
      <c r="C102" t="s">
        <v>52</v>
      </c>
      <c r="D102" s="2">
        <v>10351422.710000001</v>
      </c>
    </row>
    <row r="103" spans="1:4">
      <c r="A103" s="45" t="s">
        <v>53</v>
      </c>
      <c r="B103">
        <v>0</v>
      </c>
      <c r="C103" t="s">
        <v>54</v>
      </c>
      <c r="D103" s="2">
        <v>14807.52</v>
      </c>
    </row>
    <row r="104" spans="1:4">
      <c r="A104" s="45" t="s">
        <v>55</v>
      </c>
      <c r="B104">
        <v>-1</v>
      </c>
      <c r="C104" t="s">
        <v>431</v>
      </c>
      <c r="D104" s="2">
        <v>14807.52</v>
      </c>
    </row>
    <row r="105" spans="1:4">
      <c r="A105" s="45" t="s">
        <v>56</v>
      </c>
      <c r="B105">
        <v>0</v>
      </c>
      <c r="C105" t="s">
        <v>432</v>
      </c>
      <c r="D105" s="2">
        <v>14807.52</v>
      </c>
    </row>
    <row r="106" spans="1:4">
      <c r="A106" s="45" t="s">
        <v>57</v>
      </c>
      <c r="B106">
        <v>-3</v>
      </c>
      <c r="C106" t="s">
        <v>58</v>
      </c>
      <c r="D106" s="2">
        <v>203163.67</v>
      </c>
    </row>
    <row r="107" spans="1:4">
      <c r="A107" s="45" t="s">
        <v>59</v>
      </c>
      <c r="B107">
        <v>-5</v>
      </c>
      <c r="C107" t="s">
        <v>433</v>
      </c>
      <c r="D107" s="2">
        <v>203163.67</v>
      </c>
    </row>
    <row r="108" spans="1:4">
      <c r="A108" s="45" t="s">
        <v>60</v>
      </c>
      <c r="B108">
        <v>-3</v>
      </c>
      <c r="C108" t="s">
        <v>433</v>
      </c>
      <c r="D108" s="2">
        <v>203163.67</v>
      </c>
    </row>
    <row r="109" spans="1:4">
      <c r="A109" s="45" t="s">
        <v>61</v>
      </c>
      <c r="B109">
        <v>-6</v>
      </c>
      <c r="C109" t="s">
        <v>62</v>
      </c>
      <c r="D109" s="2">
        <v>2353974.4900000002</v>
      </c>
    </row>
    <row r="110" spans="1:4">
      <c r="A110" s="45" t="s">
        <v>63</v>
      </c>
      <c r="B110">
        <v>-3</v>
      </c>
      <c r="C110" t="s">
        <v>434</v>
      </c>
      <c r="D110" s="2">
        <v>2353974.4900000002</v>
      </c>
    </row>
    <row r="111" spans="1:4">
      <c r="A111" s="45" t="s">
        <v>64</v>
      </c>
      <c r="B111">
        <v>-1</v>
      </c>
      <c r="C111" t="s">
        <v>637</v>
      </c>
      <c r="D111" s="2">
        <v>1688457.37</v>
      </c>
    </row>
    <row r="112" spans="1:4">
      <c r="A112" s="45" t="s">
        <v>65</v>
      </c>
      <c r="B112">
        <v>0</v>
      </c>
      <c r="C112" t="s">
        <v>435</v>
      </c>
      <c r="D112" s="2">
        <v>114779.71</v>
      </c>
    </row>
    <row r="113" spans="1:4">
      <c r="A113" s="45" t="s">
        <v>66</v>
      </c>
      <c r="B113">
        <v>-8</v>
      </c>
      <c r="C113" t="s">
        <v>436</v>
      </c>
      <c r="D113" s="2">
        <v>313339.5</v>
      </c>
    </row>
    <row r="114" spans="1:4">
      <c r="A114" s="45" t="s">
        <v>67</v>
      </c>
      <c r="B114">
        <v>-4</v>
      </c>
      <c r="C114" t="s">
        <v>437</v>
      </c>
      <c r="D114" s="2">
        <v>143226.23000000001</v>
      </c>
    </row>
    <row r="115" spans="1:4">
      <c r="A115" s="45" t="s">
        <v>68</v>
      </c>
      <c r="B115">
        <v>0</v>
      </c>
      <c r="C115" t="s">
        <v>438</v>
      </c>
      <c r="D115" s="2">
        <v>34639.360000000001</v>
      </c>
    </row>
    <row r="116" spans="1:4">
      <c r="A116" s="45" t="s">
        <v>69</v>
      </c>
      <c r="B116">
        <v>-3</v>
      </c>
      <c r="C116" t="s">
        <v>447</v>
      </c>
      <c r="D116" s="2">
        <v>30791.21</v>
      </c>
    </row>
    <row r="117" spans="1:4">
      <c r="A117" s="45" t="s">
        <v>70</v>
      </c>
      <c r="B117">
        <v>-1</v>
      </c>
      <c r="C117" t="s">
        <v>448</v>
      </c>
      <c r="D117" s="2">
        <v>28741.11</v>
      </c>
    </row>
    <row r="118" spans="1:4">
      <c r="A118" s="45" t="s">
        <v>72</v>
      </c>
      <c r="B118">
        <v>-8</v>
      </c>
      <c r="C118" t="s">
        <v>73</v>
      </c>
      <c r="D118" s="2">
        <v>71545.98</v>
      </c>
    </row>
    <row r="119" spans="1:4">
      <c r="A119" s="45" t="s">
        <v>74</v>
      </c>
      <c r="B119">
        <v>0</v>
      </c>
      <c r="C119" t="s">
        <v>75</v>
      </c>
      <c r="D119" s="2">
        <v>71545.98</v>
      </c>
    </row>
    <row r="120" spans="1:4">
      <c r="A120" s="45" t="s">
        <v>76</v>
      </c>
      <c r="B120">
        <v>-8</v>
      </c>
      <c r="C120" t="s">
        <v>450</v>
      </c>
      <c r="D120" s="2">
        <v>71545.98</v>
      </c>
    </row>
    <row r="121" spans="1:4">
      <c r="A121" s="45" t="s">
        <v>77</v>
      </c>
      <c r="B121">
        <v>-5</v>
      </c>
      <c r="C121" t="s">
        <v>78</v>
      </c>
      <c r="D121" s="2">
        <v>239017.62</v>
      </c>
    </row>
    <row r="122" spans="1:4">
      <c r="A122" s="45" t="s">
        <v>79</v>
      </c>
      <c r="B122">
        <v>-3</v>
      </c>
      <c r="C122" t="s">
        <v>451</v>
      </c>
      <c r="D122" s="2">
        <v>239017.62</v>
      </c>
    </row>
    <row r="123" spans="1:4">
      <c r="A123" s="45" t="s">
        <v>80</v>
      </c>
      <c r="B123">
        <v>-1</v>
      </c>
      <c r="C123" t="s">
        <v>452</v>
      </c>
      <c r="D123" s="2">
        <v>24681.7</v>
      </c>
    </row>
    <row r="124" spans="1:4">
      <c r="A124" s="45" t="s">
        <v>81</v>
      </c>
      <c r="B124">
        <v>-8</v>
      </c>
      <c r="C124" t="s">
        <v>453</v>
      </c>
      <c r="D124" s="2">
        <v>214442.23999999999</v>
      </c>
    </row>
    <row r="125" spans="1:4">
      <c r="A125" s="45" t="s">
        <v>454</v>
      </c>
      <c r="B125">
        <v>-6</v>
      </c>
      <c r="C125" t="s">
        <v>455</v>
      </c>
      <c r="D125" s="2">
        <v>-106.32</v>
      </c>
    </row>
    <row r="126" spans="1:4">
      <c r="A126" s="45" t="s">
        <v>82</v>
      </c>
      <c r="B126">
        <v>-7</v>
      </c>
      <c r="C126" t="s">
        <v>83</v>
      </c>
      <c r="D126" s="2">
        <v>1658422.32</v>
      </c>
    </row>
    <row r="127" spans="1:4">
      <c r="A127" s="45" t="s">
        <v>84</v>
      </c>
      <c r="B127">
        <v>-5</v>
      </c>
      <c r="C127" t="s">
        <v>456</v>
      </c>
      <c r="D127" s="2">
        <v>302860.93</v>
      </c>
    </row>
    <row r="128" spans="1:4">
      <c r="A128" s="47" t="s">
        <v>85</v>
      </c>
      <c r="B128">
        <v>-3</v>
      </c>
      <c r="C128" t="s">
        <v>457</v>
      </c>
      <c r="D128" s="2">
        <v>286736.36</v>
      </c>
    </row>
    <row r="129" spans="1:4">
      <c r="A129" s="45" t="s">
        <v>86</v>
      </c>
      <c r="B129">
        <v>-1</v>
      </c>
      <c r="C129" t="s">
        <v>458</v>
      </c>
      <c r="D129" s="2">
        <v>16124.57</v>
      </c>
    </row>
    <row r="130" spans="1:4">
      <c r="A130" s="45" t="s">
        <v>87</v>
      </c>
      <c r="B130">
        <v>-7</v>
      </c>
      <c r="C130" t="s">
        <v>459</v>
      </c>
      <c r="D130" s="2">
        <v>931482.37</v>
      </c>
    </row>
    <row r="131" spans="1:4">
      <c r="A131" s="45" t="s">
        <v>88</v>
      </c>
      <c r="B131">
        <v>-5</v>
      </c>
      <c r="C131" t="s">
        <v>460</v>
      </c>
      <c r="D131" s="2">
        <v>931482.37</v>
      </c>
    </row>
    <row r="132" spans="1:4">
      <c r="A132" s="45" t="s">
        <v>89</v>
      </c>
      <c r="B132">
        <v>-2</v>
      </c>
      <c r="C132" t="s">
        <v>461</v>
      </c>
      <c r="D132" s="2">
        <v>329456.34999999998</v>
      </c>
    </row>
    <row r="133" spans="1:4">
      <c r="A133" s="45" t="s">
        <v>638</v>
      </c>
      <c r="B133">
        <v>0</v>
      </c>
      <c r="C133" t="s">
        <v>639</v>
      </c>
      <c r="D133" s="2">
        <v>311269.01</v>
      </c>
    </row>
    <row r="134" spans="1:4">
      <c r="A134" s="45" t="s">
        <v>90</v>
      </c>
      <c r="B134">
        <v>-9</v>
      </c>
      <c r="C134" t="s">
        <v>462</v>
      </c>
      <c r="D134" s="2">
        <v>18187.34</v>
      </c>
    </row>
    <row r="135" spans="1:4">
      <c r="A135" s="45" t="s">
        <v>91</v>
      </c>
      <c r="B135">
        <v>0</v>
      </c>
      <c r="C135" t="s">
        <v>463</v>
      </c>
      <c r="D135" s="2">
        <v>94622.67</v>
      </c>
    </row>
    <row r="136" spans="1:4">
      <c r="A136" s="45" t="s">
        <v>92</v>
      </c>
      <c r="B136">
        <v>-9</v>
      </c>
      <c r="C136" t="s">
        <v>464</v>
      </c>
      <c r="D136" s="2">
        <v>94622.67</v>
      </c>
    </row>
    <row r="137" spans="1:4">
      <c r="A137" s="45" t="s">
        <v>93</v>
      </c>
      <c r="B137">
        <v>0</v>
      </c>
      <c r="C137" t="s">
        <v>94</v>
      </c>
      <c r="D137" s="2">
        <v>3442611.36</v>
      </c>
    </row>
    <row r="138" spans="1:4">
      <c r="A138" s="45" t="s">
        <v>95</v>
      </c>
      <c r="B138">
        <v>-2</v>
      </c>
      <c r="C138" t="s">
        <v>465</v>
      </c>
      <c r="D138" s="2">
        <v>3442611.36</v>
      </c>
    </row>
    <row r="139" spans="1:4">
      <c r="A139" s="45" t="s">
        <v>96</v>
      </c>
      <c r="B139">
        <v>0</v>
      </c>
      <c r="C139" t="s">
        <v>466</v>
      </c>
      <c r="D139" s="2">
        <v>865877.22</v>
      </c>
    </row>
    <row r="140" spans="1:4">
      <c r="A140" s="45" t="s">
        <v>97</v>
      </c>
      <c r="B140">
        <v>-9</v>
      </c>
      <c r="C140" t="s">
        <v>467</v>
      </c>
      <c r="D140" s="2">
        <v>1103577.68</v>
      </c>
    </row>
    <row r="141" spans="1:4">
      <c r="A141" s="45" t="s">
        <v>98</v>
      </c>
      <c r="B141">
        <v>-7</v>
      </c>
      <c r="C141" t="s">
        <v>468</v>
      </c>
      <c r="D141" s="2">
        <v>79125.73</v>
      </c>
    </row>
    <row r="142" spans="1:4">
      <c r="A142" s="45" t="s">
        <v>99</v>
      </c>
      <c r="B142">
        <v>-5</v>
      </c>
      <c r="C142" t="s">
        <v>469</v>
      </c>
      <c r="D142" s="2">
        <v>65240.13</v>
      </c>
    </row>
    <row r="143" spans="1:4">
      <c r="A143" s="45" t="s">
        <v>100</v>
      </c>
      <c r="B143">
        <v>-1</v>
      </c>
      <c r="C143" t="s">
        <v>470</v>
      </c>
      <c r="D143" s="2">
        <v>611912.44999999995</v>
      </c>
    </row>
    <row r="144" spans="1:4">
      <c r="A144" s="45" t="s">
        <v>101</v>
      </c>
      <c r="B144">
        <v>-8</v>
      </c>
      <c r="C144" t="s">
        <v>471</v>
      </c>
      <c r="D144" s="2">
        <v>37505.410000000003</v>
      </c>
    </row>
    <row r="145" spans="1:4">
      <c r="A145" s="45" t="s">
        <v>102</v>
      </c>
      <c r="B145">
        <v>-4</v>
      </c>
      <c r="C145" t="s">
        <v>472</v>
      </c>
      <c r="D145" s="2">
        <v>223246.51</v>
      </c>
    </row>
    <row r="146" spans="1:4">
      <c r="A146" s="45" t="s">
        <v>103</v>
      </c>
      <c r="B146">
        <v>-2</v>
      </c>
      <c r="C146" t="s">
        <v>473</v>
      </c>
      <c r="D146" s="2">
        <v>412820.2</v>
      </c>
    </row>
    <row r="147" spans="1:4">
      <c r="A147" s="45" t="s">
        <v>104</v>
      </c>
      <c r="B147">
        <v>0</v>
      </c>
      <c r="C147" t="s">
        <v>474</v>
      </c>
      <c r="D147" s="2">
        <v>43155.78</v>
      </c>
    </row>
    <row r="148" spans="1:4">
      <c r="A148" s="45" t="s">
        <v>105</v>
      </c>
      <c r="B148">
        <v>-9</v>
      </c>
      <c r="C148" t="s">
        <v>475</v>
      </c>
      <c r="D148" s="2">
        <v>113.72</v>
      </c>
    </row>
    <row r="149" spans="1:4">
      <c r="A149" s="45" t="s">
        <v>476</v>
      </c>
      <c r="B149">
        <v>-1</v>
      </c>
      <c r="C149" t="s">
        <v>477</v>
      </c>
      <c r="D149" s="2">
        <v>36.53</v>
      </c>
    </row>
    <row r="150" spans="1:4">
      <c r="A150" s="45" t="s">
        <v>106</v>
      </c>
      <c r="B150">
        <v>-8</v>
      </c>
      <c r="C150" t="s">
        <v>107</v>
      </c>
      <c r="D150" s="2">
        <v>20495.25</v>
      </c>
    </row>
    <row r="151" spans="1:4">
      <c r="A151" s="45" t="s">
        <v>108</v>
      </c>
      <c r="B151">
        <v>0</v>
      </c>
      <c r="C151" t="s">
        <v>478</v>
      </c>
      <c r="D151" s="2">
        <v>20495.25</v>
      </c>
    </row>
    <row r="152" spans="1:4">
      <c r="A152" s="45" t="s">
        <v>109</v>
      </c>
      <c r="B152">
        <v>-8</v>
      </c>
      <c r="C152" t="s">
        <v>479</v>
      </c>
      <c r="D152" s="2">
        <v>20495.25</v>
      </c>
    </row>
    <row r="153" spans="1:4">
      <c r="A153" s="45" t="s">
        <v>110</v>
      </c>
      <c r="B153">
        <v>-1</v>
      </c>
      <c r="C153" t="s">
        <v>111</v>
      </c>
      <c r="D153" s="2">
        <v>1584800</v>
      </c>
    </row>
    <row r="154" spans="1:4">
      <c r="A154" s="45" t="s">
        <v>112</v>
      </c>
      <c r="B154">
        <v>-2</v>
      </c>
      <c r="C154" t="s">
        <v>480</v>
      </c>
      <c r="D154" s="2">
        <v>1584800</v>
      </c>
    </row>
    <row r="155" spans="1:4">
      <c r="A155" s="45" t="s">
        <v>113</v>
      </c>
      <c r="B155">
        <v>0</v>
      </c>
      <c r="C155" t="s">
        <v>481</v>
      </c>
      <c r="D155" s="2">
        <v>1584800</v>
      </c>
    </row>
    <row r="156" spans="1:4">
      <c r="A156" s="45" t="s">
        <v>114</v>
      </c>
      <c r="B156">
        <v>-9</v>
      </c>
      <c r="C156" t="s">
        <v>115</v>
      </c>
      <c r="D156" s="2">
        <v>607533.81999999995</v>
      </c>
    </row>
    <row r="157" spans="1:4">
      <c r="A157" s="45" t="s">
        <v>116</v>
      </c>
      <c r="B157">
        <v>0</v>
      </c>
      <c r="C157" t="s">
        <v>482</v>
      </c>
      <c r="D157" s="2">
        <v>607533.81999999995</v>
      </c>
    </row>
    <row r="158" spans="1:4">
      <c r="A158" s="45" t="s">
        <v>117</v>
      </c>
      <c r="B158">
        <v>-6</v>
      </c>
      <c r="C158" t="s">
        <v>483</v>
      </c>
      <c r="D158" s="2">
        <v>607533.81999999995</v>
      </c>
    </row>
    <row r="159" spans="1:4">
      <c r="A159" s="45" t="s">
        <v>118</v>
      </c>
      <c r="B159">
        <v>-4</v>
      </c>
      <c r="C159" t="s">
        <v>119</v>
      </c>
      <c r="D159" s="2">
        <v>38569.14</v>
      </c>
    </row>
    <row r="160" spans="1:4">
      <c r="A160" s="45" t="s">
        <v>120</v>
      </c>
      <c r="B160">
        <v>-5</v>
      </c>
      <c r="C160" t="s">
        <v>484</v>
      </c>
      <c r="D160" s="2">
        <v>38569.14</v>
      </c>
    </row>
    <row r="161" spans="1:4">
      <c r="A161" s="45" t="s">
        <v>121</v>
      </c>
      <c r="B161">
        <v>-3</v>
      </c>
      <c r="C161" t="s">
        <v>484</v>
      </c>
      <c r="D161" s="2">
        <v>38569.14</v>
      </c>
    </row>
    <row r="162" spans="1:4">
      <c r="A162" s="45" t="s">
        <v>122</v>
      </c>
      <c r="B162">
        <v>0</v>
      </c>
      <c r="C162" t="s">
        <v>123</v>
      </c>
      <c r="D162" s="2">
        <v>116481.54</v>
      </c>
    </row>
    <row r="163" spans="1:4">
      <c r="A163" s="45" t="s">
        <v>124</v>
      </c>
      <c r="B163">
        <v>-7</v>
      </c>
      <c r="C163" t="s">
        <v>485</v>
      </c>
      <c r="D163" s="2">
        <v>116481.54</v>
      </c>
    </row>
    <row r="164" spans="1:4">
      <c r="A164" s="45" t="s">
        <v>486</v>
      </c>
      <c r="B164">
        <v>-3</v>
      </c>
      <c r="C164" t="s">
        <v>487</v>
      </c>
      <c r="D164" s="2">
        <v>15000</v>
      </c>
    </row>
    <row r="165" spans="1:4">
      <c r="A165" s="45" t="s">
        <v>290</v>
      </c>
      <c r="B165">
        <v>-1</v>
      </c>
      <c r="C165" t="s">
        <v>488</v>
      </c>
      <c r="D165" s="2">
        <v>10</v>
      </c>
    </row>
    <row r="166" spans="1:4">
      <c r="A166" s="45" t="s">
        <v>125</v>
      </c>
      <c r="B166">
        <v>-6</v>
      </c>
      <c r="C166" t="s">
        <v>485</v>
      </c>
      <c r="D166" s="2">
        <v>101471.54</v>
      </c>
    </row>
    <row r="167" spans="1:4">
      <c r="A167" s="47" t="s">
        <v>126</v>
      </c>
      <c r="B167">
        <v>-4</v>
      </c>
      <c r="C167" t="s">
        <v>127</v>
      </c>
      <c r="D167" s="2">
        <v>300</v>
      </c>
    </row>
    <row r="168" spans="1:4">
      <c r="A168" s="45" t="s">
        <v>128</v>
      </c>
      <c r="B168">
        <v>-1</v>
      </c>
      <c r="C168" t="s">
        <v>129</v>
      </c>
      <c r="D168" s="2">
        <v>300</v>
      </c>
    </row>
    <row r="169" spans="1:4">
      <c r="A169" s="45" t="s">
        <v>130</v>
      </c>
      <c r="B169">
        <v>-7</v>
      </c>
      <c r="C169" t="s">
        <v>129</v>
      </c>
      <c r="D169" s="2">
        <v>300</v>
      </c>
    </row>
    <row r="170" spans="1:4">
      <c r="A170" s="45" t="s">
        <v>131</v>
      </c>
      <c r="B170">
        <v>-1</v>
      </c>
      <c r="C170" t="s">
        <v>489</v>
      </c>
      <c r="D170" s="2">
        <v>300</v>
      </c>
    </row>
    <row r="171" spans="1:4">
      <c r="A171" s="45" t="s">
        <v>337</v>
      </c>
      <c r="B171">
        <v>-2</v>
      </c>
      <c r="C171" t="s">
        <v>132</v>
      </c>
      <c r="D171" s="2">
        <v>18065234.129999999</v>
      </c>
    </row>
    <row r="172" spans="1:4">
      <c r="A172" s="45" t="s">
        <v>133</v>
      </c>
      <c r="B172">
        <v>-3</v>
      </c>
      <c r="C172" t="s">
        <v>134</v>
      </c>
      <c r="D172" s="2">
        <v>5526413.9000000004</v>
      </c>
    </row>
    <row r="173" spans="1:4">
      <c r="A173" s="45" t="s">
        <v>135</v>
      </c>
      <c r="B173">
        <v>-5</v>
      </c>
      <c r="C173" t="s">
        <v>490</v>
      </c>
      <c r="D173" s="2">
        <v>5449581.4500000002</v>
      </c>
    </row>
    <row r="174" spans="1:4">
      <c r="A174" s="45" t="s">
        <v>136</v>
      </c>
      <c r="B174">
        <v>-3</v>
      </c>
      <c r="C174" t="s">
        <v>490</v>
      </c>
      <c r="D174" s="2">
        <v>5449581.4500000002</v>
      </c>
    </row>
    <row r="175" spans="1:4">
      <c r="A175" s="45" t="s">
        <v>491</v>
      </c>
      <c r="B175">
        <v>-4</v>
      </c>
      <c r="C175" t="s">
        <v>492</v>
      </c>
      <c r="D175" s="2">
        <v>76832.45</v>
      </c>
    </row>
    <row r="176" spans="1:4">
      <c r="A176" s="45" t="s">
        <v>493</v>
      </c>
      <c r="B176">
        <v>-3</v>
      </c>
      <c r="C176" t="s">
        <v>494</v>
      </c>
      <c r="D176" s="2">
        <v>76832.45</v>
      </c>
    </row>
    <row r="177" spans="1:4">
      <c r="A177" s="45" t="s">
        <v>137</v>
      </c>
      <c r="B177">
        <v>-7</v>
      </c>
      <c r="C177" t="s">
        <v>138</v>
      </c>
      <c r="D177" s="2">
        <v>1199813.55</v>
      </c>
    </row>
    <row r="178" spans="1:4">
      <c r="A178" s="45" t="s">
        <v>139</v>
      </c>
      <c r="B178">
        <v>-9</v>
      </c>
      <c r="C178" t="s">
        <v>495</v>
      </c>
      <c r="D178" s="2">
        <v>1183132.82</v>
      </c>
    </row>
    <row r="179" spans="1:4">
      <c r="A179" s="45" t="s">
        <v>140</v>
      </c>
      <c r="B179">
        <v>-7</v>
      </c>
      <c r="C179" t="s">
        <v>496</v>
      </c>
      <c r="D179" s="2">
        <v>1183132.82</v>
      </c>
    </row>
    <row r="180" spans="1:4">
      <c r="A180" s="45" t="s">
        <v>497</v>
      </c>
      <c r="B180">
        <v>-8</v>
      </c>
      <c r="C180" t="s">
        <v>498</v>
      </c>
      <c r="D180" s="2">
        <v>16680.73</v>
      </c>
    </row>
    <row r="181" spans="1:4">
      <c r="A181" s="45" t="s">
        <v>499</v>
      </c>
      <c r="B181">
        <v>-7</v>
      </c>
      <c r="C181" t="s">
        <v>500</v>
      </c>
      <c r="D181" s="2">
        <v>16680.73</v>
      </c>
    </row>
    <row r="182" spans="1:4">
      <c r="A182" s="45" t="s">
        <v>141</v>
      </c>
      <c r="B182">
        <v>-6</v>
      </c>
      <c r="C182" t="s">
        <v>132</v>
      </c>
      <c r="D182" s="2">
        <v>11339006.68</v>
      </c>
    </row>
    <row r="183" spans="1:4">
      <c r="A183" s="45" t="s">
        <v>142</v>
      </c>
      <c r="B183">
        <v>-3</v>
      </c>
      <c r="C183" t="s">
        <v>143</v>
      </c>
      <c r="D183" s="2">
        <v>11339006.68</v>
      </c>
    </row>
    <row r="184" spans="1:4">
      <c r="A184" s="45" t="s">
        <v>144</v>
      </c>
      <c r="B184">
        <v>-1</v>
      </c>
      <c r="C184" t="s">
        <v>501</v>
      </c>
      <c r="D184" s="2">
        <v>547.33000000000004</v>
      </c>
    </row>
    <row r="185" spans="1:4">
      <c r="A185" s="45" t="s">
        <v>502</v>
      </c>
      <c r="B185">
        <v>0</v>
      </c>
      <c r="C185" t="s">
        <v>503</v>
      </c>
      <c r="D185" s="2">
        <v>943676.94</v>
      </c>
    </row>
    <row r="186" spans="1:4">
      <c r="A186" s="45" t="s">
        <v>338</v>
      </c>
      <c r="B186">
        <v>-8</v>
      </c>
      <c r="C186" t="s">
        <v>504</v>
      </c>
      <c r="D186" s="2">
        <v>9469445.2599999998</v>
      </c>
    </row>
    <row r="187" spans="1:4">
      <c r="A187" s="45" t="s">
        <v>145</v>
      </c>
      <c r="B187">
        <v>-6</v>
      </c>
      <c r="C187" t="s">
        <v>505</v>
      </c>
      <c r="D187" s="2">
        <v>3904.79</v>
      </c>
    </row>
    <row r="188" spans="1:4">
      <c r="A188" s="45" t="s">
        <v>146</v>
      </c>
      <c r="B188">
        <v>-4</v>
      </c>
      <c r="C188" t="s">
        <v>506</v>
      </c>
      <c r="D188" s="2">
        <v>921432.36</v>
      </c>
    </row>
    <row r="189" spans="1:4">
      <c r="A189" s="45" t="s">
        <v>147</v>
      </c>
      <c r="B189">
        <v>-7</v>
      </c>
      <c r="C189" t="s">
        <v>148</v>
      </c>
      <c r="D189" s="2">
        <v>38078820.880000003</v>
      </c>
    </row>
    <row r="190" spans="1:4">
      <c r="A190" s="45" t="s">
        <v>149</v>
      </c>
      <c r="B190">
        <v>0</v>
      </c>
      <c r="C190" t="s">
        <v>150</v>
      </c>
      <c r="D190" s="2">
        <v>38078820.880000003</v>
      </c>
    </row>
    <row r="191" spans="1:4">
      <c r="A191" s="45" t="s">
        <v>151</v>
      </c>
      <c r="B191">
        <v>-3</v>
      </c>
      <c r="C191" t="s">
        <v>150</v>
      </c>
      <c r="D191" s="2">
        <v>27993038.469999999</v>
      </c>
    </row>
    <row r="192" spans="1:4">
      <c r="A192" s="45" t="s">
        <v>341</v>
      </c>
      <c r="B192">
        <v>-5</v>
      </c>
      <c r="C192" t="s">
        <v>507</v>
      </c>
      <c r="D192" s="2">
        <v>27770863.710000001</v>
      </c>
    </row>
    <row r="193" spans="1:4">
      <c r="A193" s="45" t="s">
        <v>152</v>
      </c>
      <c r="B193">
        <v>-3</v>
      </c>
      <c r="C193" t="s">
        <v>507</v>
      </c>
      <c r="D193" s="2">
        <v>27770863.710000001</v>
      </c>
    </row>
    <row r="194" spans="1:4">
      <c r="A194" s="45" t="s">
        <v>508</v>
      </c>
      <c r="B194">
        <v>-4</v>
      </c>
      <c r="C194" t="s">
        <v>603</v>
      </c>
      <c r="D194" s="2">
        <v>229360.04</v>
      </c>
    </row>
    <row r="195" spans="1:4">
      <c r="A195" s="45" t="s">
        <v>509</v>
      </c>
      <c r="B195">
        <v>-5</v>
      </c>
      <c r="C195" t="s">
        <v>510</v>
      </c>
      <c r="D195" s="2">
        <v>229360.04</v>
      </c>
    </row>
    <row r="196" spans="1:4">
      <c r="A196" s="45" t="s">
        <v>153</v>
      </c>
      <c r="B196">
        <v>-6</v>
      </c>
      <c r="C196" t="s">
        <v>511</v>
      </c>
      <c r="D196" s="2">
        <v>-7185.28</v>
      </c>
    </row>
    <row r="197" spans="1:4">
      <c r="A197" s="45" t="s">
        <v>343</v>
      </c>
      <c r="B197">
        <v>-4</v>
      </c>
      <c r="C197" t="s">
        <v>512</v>
      </c>
      <c r="D197" s="2">
        <v>-7185.28</v>
      </c>
    </row>
    <row r="198" spans="1:4">
      <c r="A198" s="45" t="s">
        <v>154</v>
      </c>
      <c r="B198">
        <v>-7</v>
      </c>
      <c r="C198" t="s">
        <v>155</v>
      </c>
      <c r="D198" s="2">
        <v>10085782.41</v>
      </c>
    </row>
    <row r="199" spans="1:4">
      <c r="A199" s="45" t="s">
        <v>342</v>
      </c>
      <c r="B199">
        <v>-9</v>
      </c>
      <c r="C199" t="s">
        <v>513</v>
      </c>
      <c r="D199" s="2">
        <v>10005799.5</v>
      </c>
    </row>
    <row r="200" spans="1:4">
      <c r="A200" s="45" t="s">
        <v>156</v>
      </c>
      <c r="B200">
        <v>-7</v>
      </c>
      <c r="C200" t="s">
        <v>513</v>
      </c>
      <c r="D200" s="2">
        <v>10005799.5</v>
      </c>
    </row>
    <row r="201" spans="1:4">
      <c r="A201" s="45" t="s">
        <v>514</v>
      </c>
      <c r="B201">
        <v>-8</v>
      </c>
      <c r="C201" t="s">
        <v>727</v>
      </c>
      <c r="D201" s="2">
        <v>82569.61</v>
      </c>
    </row>
    <row r="202" spans="1:4">
      <c r="A202" s="45" t="s">
        <v>515</v>
      </c>
      <c r="B202">
        <v>-9</v>
      </c>
      <c r="C202" t="s">
        <v>516</v>
      </c>
      <c r="D202" s="2">
        <v>82569.61</v>
      </c>
    </row>
    <row r="203" spans="1:4">
      <c r="A203" s="45" t="s">
        <v>157</v>
      </c>
      <c r="B203">
        <v>0</v>
      </c>
      <c r="C203" t="s">
        <v>517</v>
      </c>
      <c r="D203" s="2">
        <v>-2586.6999999999998</v>
      </c>
    </row>
    <row r="204" spans="1:4">
      <c r="A204" s="47" t="s">
        <v>344</v>
      </c>
      <c r="B204">
        <v>-8</v>
      </c>
      <c r="C204" t="s">
        <v>518</v>
      </c>
      <c r="D204" s="2">
        <v>-2586.6999999999998</v>
      </c>
    </row>
    <row r="205" spans="1:4">
      <c r="A205" s="45">
        <v>4</v>
      </c>
      <c r="B205">
        <v>-6</v>
      </c>
      <c r="C205" t="s">
        <v>346</v>
      </c>
      <c r="D205" s="2">
        <v>496468837.75</v>
      </c>
    </row>
    <row r="206" spans="1:4">
      <c r="A206" s="45" t="s">
        <v>158</v>
      </c>
      <c r="B206">
        <v>-1</v>
      </c>
      <c r="C206" t="s">
        <v>159</v>
      </c>
      <c r="D206" s="2">
        <v>496468837.75</v>
      </c>
    </row>
    <row r="207" spans="1:4">
      <c r="A207" s="45" t="s">
        <v>323</v>
      </c>
      <c r="B207">
        <v>-6</v>
      </c>
      <c r="C207" t="s">
        <v>308</v>
      </c>
      <c r="D207" s="2">
        <v>196736373.74000001</v>
      </c>
    </row>
    <row r="208" spans="1:4">
      <c r="A208" s="45" t="s">
        <v>309</v>
      </c>
      <c r="B208">
        <v>0</v>
      </c>
      <c r="C208" t="s">
        <v>310</v>
      </c>
      <c r="D208" s="2">
        <v>196736373.74000001</v>
      </c>
    </row>
    <row r="209" spans="1:7">
      <c r="A209" s="45" t="s">
        <v>311</v>
      </c>
      <c r="B209">
        <v>-1</v>
      </c>
      <c r="C209" t="s">
        <v>730</v>
      </c>
      <c r="D209" s="2">
        <v>196736373.74000001</v>
      </c>
    </row>
    <row r="210" spans="1:7">
      <c r="A210" s="45" t="s">
        <v>247</v>
      </c>
      <c r="B210">
        <v>0</v>
      </c>
      <c r="C210" t="s">
        <v>731</v>
      </c>
      <c r="D210" s="2">
        <v>196736373.74000001</v>
      </c>
    </row>
    <row r="211" spans="1:7">
      <c r="A211" s="45" t="s">
        <v>160</v>
      </c>
      <c r="B211">
        <v>-4</v>
      </c>
      <c r="C211" t="s">
        <v>161</v>
      </c>
      <c r="D211" s="2">
        <v>294025728.44999999</v>
      </c>
      <c r="F211" t="s">
        <v>324</v>
      </c>
      <c r="G211" s="2">
        <f>+D212</f>
        <v>20106491.969999999</v>
      </c>
    </row>
    <row r="212" spans="1:7">
      <c r="A212" s="45" t="s">
        <v>324</v>
      </c>
      <c r="B212">
        <v>-8</v>
      </c>
      <c r="C212" t="s">
        <v>519</v>
      </c>
      <c r="D212" s="2">
        <v>20106491.969999999</v>
      </c>
      <c r="F212" t="s">
        <v>525</v>
      </c>
      <c r="G212" s="2">
        <f>+D218</f>
        <v>73439.63</v>
      </c>
    </row>
    <row r="213" spans="1:7">
      <c r="A213" s="45" t="s">
        <v>162</v>
      </c>
      <c r="B213">
        <v>0</v>
      </c>
      <c r="C213" t="s">
        <v>520</v>
      </c>
      <c r="D213" s="2">
        <v>20106491.969999999</v>
      </c>
      <c r="F213" t="s">
        <v>325</v>
      </c>
      <c r="G213" s="2">
        <f>+D226</f>
        <v>428928.08</v>
      </c>
    </row>
    <row r="214" spans="1:7">
      <c r="A214" s="45" t="s">
        <v>301</v>
      </c>
      <c r="B214">
        <v>-8</v>
      </c>
      <c r="C214" t="s">
        <v>521</v>
      </c>
      <c r="D214" s="2">
        <v>9204587.2200000007</v>
      </c>
      <c r="G214" s="2">
        <f>+G213+G212+G211</f>
        <v>20608859.68</v>
      </c>
    </row>
    <row r="215" spans="1:7">
      <c r="A215" s="45" t="s">
        <v>163</v>
      </c>
      <c r="B215">
        <v>-6</v>
      </c>
      <c r="C215" t="s">
        <v>522</v>
      </c>
      <c r="D215" s="2">
        <v>4405079.59</v>
      </c>
    </row>
    <row r="216" spans="1:7">
      <c r="A216" s="45" t="s">
        <v>164</v>
      </c>
      <c r="B216">
        <v>-4</v>
      </c>
      <c r="C216" t="s">
        <v>523</v>
      </c>
      <c r="D216" s="2">
        <v>5337932.0199999996</v>
      </c>
    </row>
    <row r="217" spans="1:7">
      <c r="A217" s="45" t="s">
        <v>165</v>
      </c>
      <c r="B217">
        <v>-2</v>
      </c>
      <c r="C217" t="s">
        <v>524</v>
      </c>
      <c r="D217" s="2">
        <v>1158893.1399999999</v>
      </c>
    </row>
    <row r="218" spans="1:7">
      <c r="A218" s="45" t="s">
        <v>525</v>
      </c>
      <c r="B218">
        <v>-1</v>
      </c>
      <c r="C218" t="s">
        <v>526</v>
      </c>
      <c r="D218" s="2">
        <v>73439.63</v>
      </c>
    </row>
    <row r="219" spans="1:7">
      <c r="A219" s="45" t="s">
        <v>527</v>
      </c>
      <c r="B219">
        <v>-9</v>
      </c>
      <c r="C219" t="s">
        <v>528</v>
      </c>
      <c r="D219" s="2">
        <v>73439.63</v>
      </c>
    </row>
    <row r="220" spans="1:7">
      <c r="A220" s="45" t="s">
        <v>529</v>
      </c>
      <c r="B220">
        <v>-5</v>
      </c>
      <c r="C220" t="s">
        <v>530</v>
      </c>
      <c r="D220" s="2">
        <v>73439.63</v>
      </c>
    </row>
    <row r="221" spans="1:7">
      <c r="A221" s="45" t="s">
        <v>326</v>
      </c>
      <c r="B221">
        <v>-5</v>
      </c>
      <c r="C221" t="s">
        <v>531</v>
      </c>
      <c r="D221" s="2">
        <v>273845796.85000002</v>
      </c>
    </row>
    <row r="222" spans="1:7">
      <c r="A222" s="45" t="s">
        <v>166</v>
      </c>
      <c r="B222">
        <v>-1</v>
      </c>
      <c r="C222" t="s">
        <v>167</v>
      </c>
      <c r="D222" s="2">
        <v>273845796.85000002</v>
      </c>
    </row>
    <row r="223" spans="1:7">
      <c r="A223" s="45" t="s">
        <v>168</v>
      </c>
      <c r="B223">
        <v>0</v>
      </c>
      <c r="C223" t="s">
        <v>532</v>
      </c>
      <c r="D223" s="2">
        <v>210684754.06999999</v>
      </c>
    </row>
    <row r="224" spans="1:7">
      <c r="A224" s="45" t="s">
        <v>169</v>
      </c>
      <c r="B224">
        <v>-8</v>
      </c>
      <c r="C224" t="s">
        <v>533</v>
      </c>
      <c r="D224" s="2">
        <v>63161042.780000001</v>
      </c>
    </row>
    <row r="225" spans="1:4">
      <c r="A225" s="45" t="s">
        <v>325</v>
      </c>
      <c r="B225">
        <v>-5</v>
      </c>
      <c r="C225" t="s">
        <v>170</v>
      </c>
      <c r="D225" s="2">
        <v>5706735.5599999996</v>
      </c>
    </row>
    <row r="226" spans="1:4">
      <c r="A226" s="45" t="s">
        <v>171</v>
      </c>
      <c r="B226">
        <v>-6</v>
      </c>
      <c r="C226" t="s">
        <v>172</v>
      </c>
      <c r="D226" s="2">
        <v>428928.08</v>
      </c>
    </row>
    <row r="227" spans="1:4">
      <c r="A227" s="45" t="s">
        <v>173</v>
      </c>
      <c r="B227">
        <v>-8</v>
      </c>
      <c r="C227" t="s">
        <v>534</v>
      </c>
      <c r="D227" s="2">
        <v>428928.08</v>
      </c>
    </row>
    <row r="228" spans="1:4">
      <c r="A228" s="45" t="s">
        <v>174</v>
      </c>
      <c r="B228">
        <v>-9</v>
      </c>
      <c r="C228" t="s">
        <v>543</v>
      </c>
      <c r="D228" s="2">
        <v>316779.36</v>
      </c>
    </row>
    <row r="229" spans="1:4">
      <c r="A229" s="45" t="s">
        <v>175</v>
      </c>
      <c r="B229">
        <v>-7</v>
      </c>
      <c r="C229" t="s">
        <v>544</v>
      </c>
      <c r="D229" s="2">
        <v>87985.26</v>
      </c>
    </row>
    <row r="230" spans="1:4">
      <c r="A230" s="45" t="s">
        <v>176</v>
      </c>
      <c r="B230">
        <v>-5</v>
      </c>
      <c r="C230" t="s">
        <v>545</v>
      </c>
      <c r="D230" s="2">
        <v>24163.46</v>
      </c>
    </row>
    <row r="231" spans="1:4">
      <c r="A231" s="45" t="s">
        <v>546</v>
      </c>
      <c r="B231">
        <v>-7</v>
      </c>
      <c r="C231" t="s">
        <v>547</v>
      </c>
      <c r="D231" s="2">
        <v>2013542.19</v>
      </c>
    </row>
    <row r="232" spans="1:4">
      <c r="A232" s="45" t="s">
        <v>548</v>
      </c>
      <c r="B232">
        <v>-2</v>
      </c>
      <c r="C232" t="s">
        <v>547</v>
      </c>
      <c r="D232" s="2">
        <v>2013542.19</v>
      </c>
    </row>
    <row r="233" spans="1:4">
      <c r="A233" s="45" t="s">
        <v>549</v>
      </c>
      <c r="B233">
        <v>-7</v>
      </c>
      <c r="C233" t="s">
        <v>550</v>
      </c>
      <c r="D233" s="2">
        <v>2013542.19</v>
      </c>
    </row>
    <row r="234" spans="1:4">
      <c r="A234" s="45" t="s">
        <v>177</v>
      </c>
      <c r="B234">
        <v>-7</v>
      </c>
      <c r="C234" t="s">
        <v>178</v>
      </c>
      <c r="D234" s="2">
        <v>3264265.29</v>
      </c>
    </row>
    <row r="235" spans="1:4">
      <c r="A235" s="45" t="s">
        <v>179</v>
      </c>
      <c r="B235">
        <v>0</v>
      </c>
      <c r="C235" t="s">
        <v>551</v>
      </c>
      <c r="D235" s="2">
        <v>3264265.29</v>
      </c>
    </row>
    <row r="236" spans="1:4">
      <c r="A236" s="45" t="s">
        <v>180</v>
      </c>
      <c r="B236">
        <v>-9</v>
      </c>
      <c r="C236" t="s">
        <v>552</v>
      </c>
      <c r="D236" s="2">
        <v>242178.11</v>
      </c>
    </row>
    <row r="237" spans="1:4">
      <c r="A237" s="45" t="s">
        <v>181</v>
      </c>
      <c r="B237">
        <v>-7</v>
      </c>
      <c r="C237" t="s">
        <v>553</v>
      </c>
      <c r="D237" s="2">
        <v>490420.18</v>
      </c>
    </row>
    <row r="238" spans="1:4">
      <c r="A238" s="45" t="s">
        <v>182</v>
      </c>
      <c r="B238">
        <v>-5</v>
      </c>
      <c r="C238" t="s">
        <v>554</v>
      </c>
      <c r="D238" s="2">
        <v>31248.01</v>
      </c>
    </row>
    <row r="239" spans="1:4">
      <c r="A239" s="45" t="s">
        <v>183</v>
      </c>
      <c r="B239">
        <v>-1</v>
      </c>
      <c r="C239" t="s">
        <v>555</v>
      </c>
      <c r="D239" s="2">
        <v>2500418.9900000002</v>
      </c>
    </row>
    <row r="240" spans="1:4">
      <c r="A240" s="45">
        <v>6</v>
      </c>
      <c r="B240">
        <v>-9</v>
      </c>
      <c r="C240" t="s">
        <v>184</v>
      </c>
      <c r="D240" s="2">
        <v>4858695773.04</v>
      </c>
    </row>
    <row r="241" spans="1:4">
      <c r="A241" s="45" t="s">
        <v>185</v>
      </c>
      <c r="B241">
        <v>-6</v>
      </c>
      <c r="C241" t="s">
        <v>184</v>
      </c>
      <c r="D241" s="2">
        <v>4858695773.04</v>
      </c>
    </row>
    <row r="242" spans="1:4">
      <c r="A242" s="45" t="s">
        <v>186</v>
      </c>
      <c r="B242">
        <v>-4</v>
      </c>
      <c r="C242" t="s">
        <v>187</v>
      </c>
      <c r="D242" s="2">
        <v>4000000000</v>
      </c>
    </row>
    <row r="243" spans="1:4">
      <c r="A243" s="45" t="s">
        <v>327</v>
      </c>
      <c r="B243">
        <v>-8</v>
      </c>
      <c r="C243" t="s">
        <v>188</v>
      </c>
      <c r="D243" s="2">
        <v>4000000000</v>
      </c>
    </row>
    <row r="244" spans="1:4">
      <c r="A244" s="45" t="s">
        <v>189</v>
      </c>
      <c r="B244">
        <v>-3</v>
      </c>
      <c r="C244" t="s">
        <v>190</v>
      </c>
      <c r="D244" s="2">
        <v>4000000000</v>
      </c>
    </row>
    <row r="245" spans="1:4">
      <c r="A245" s="45" t="s">
        <v>191</v>
      </c>
      <c r="B245">
        <v>-3</v>
      </c>
      <c r="C245" t="s">
        <v>592</v>
      </c>
      <c r="D245" s="2">
        <v>4000000000</v>
      </c>
    </row>
    <row r="246" spans="1:4">
      <c r="A246" s="45" t="s">
        <v>291</v>
      </c>
      <c r="B246">
        <v>0</v>
      </c>
      <c r="C246" t="s">
        <v>292</v>
      </c>
      <c r="D246" s="2">
        <v>167259.56</v>
      </c>
    </row>
    <row r="247" spans="1:4">
      <c r="A247" s="45" t="s">
        <v>293</v>
      </c>
      <c r="B247">
        <v>-4</v>
      </c>
      <c r="C247" t="s">
        <v>294</v>
      </c>
      <c r="D247" s="2">
        <v>167259.56</v>
      </c>
    </row>
    <row r="248" spans="1:4">
      <c r="A248" s="45" t="s">
        <v>295</v>
      </c>
      <c r="B248">
        <v>-5</v>
      </c>
      <c r="C248" t="s">
        <v>294</v>
      </c>
      <c r="D248" s="2">
        <v>167259.56</v>
      </c>
    </row>
    <row r="249" spans="1:4">
      <c r="A249" s="47" t="s">
        <v>296</v>
      </c>
      <c r="B249">
        <v>-8</v>
      </c>
      <c r="C249" t="s">
        <v>557</v>
      </c>
      <c r="D249" s="2">
        <v>167259.56</v>
      </c>
    </row>
    <row r="250" spans="1:4">
      <c r="A250" s="45" t="s">
        <v>330</v>
      </c>
      <c r="B250">
        <v>-7</v>
      </c>
      <c r="C250" t="s">
        <v>196</v>
      </c>
      <c r="D250" s="2">
        <v>1358513588.05</v>
      </c>
    </row>
    <row r="251" spans="1:4">
      <c r="A251" s="45" t="s">
        <v>197</v>
      </c>
      <c r="B251">
        <v>0</v>
      </c>
      <c r="C251" t="s">
        <v>198</v>
      </c>
      <c r="D251" s="2">
        <v>144135793.43000001</v>
      </c>
    </row>
    <row r="252" spans="1:4">
      <c r="A252" s="45" t="s">
        <v>199</v>
      </c>
      <c r="B252">
        <v>-1</v>
      </c>
      <c r="C252" t="s">
        <v>558</v>
      </c>
      <c r="D252" s="2">
        <v>144135793.43000001</v>
      </c>
    </row>
    <row r="253" spans="1:4">
      <c r="A253" s="45" t="s">
        <v>200</v>
      </c>
      <c r="B253">
        <v>0</v>
      </c>
      <c r="C253" t="s">
        <v>558</v>
      </c>
      <c r="D253" s="2">
        <v>144135793.43000001</v>
      </c>
    </row>
    <row r="254" spans="1:4">
      <c r="A254" s="45" t="s">
        <v>201</v>
      </c>
      <c r="B254">
        <v>-4</v>
      </c>
      <c r="C254" t="s">
        <v>202</v>
      </c>
      <c r="D254" s="2">
        <v>1214377794.6199999</v>
      </c>
    </row>
    <row r="255" spans="1:4">
      <c r="A255" s="45" t="s">
        <v>203</v>
      </c>
      <c r="B255">
        <v>0</v>
      </c>
      <c r="C255" t="s">
        <v>202</v>
      </c>
      <c r="D255" s="2">
        <v>1214377794.6199999</v>
      </c>
    </row>
    <row r="256" spans="1:4">
      <c r="A256" s="45" t="s">
        <v>204</v>
      </c>
      <c r="B256">
        <v>-4</v>
      </c>
      <c r="C256" t="s">
        <v>559</v>
      </c>
      <c r="D256" s="2">
        <v>1214377794.6199999</v>
      </c>
    </row>
    <row r="257" spans="1:4">
      <c r="A257" s="45" t="s">
        <v>329</v>
      </c>
      <c r="B257">
        <v>-5</v>
      </c>
      <c r="C257" t="s">
        <v>205</v>
      </c>
      <c r="D257" s="2">
        <v>328378604.33999997</v>
      </c>
    </row>
    <row r="258" spans="1:4">
      <c r="A258" s="45" t="s">
        <v>206</v>
      </c>
      <c r="B258">
        <v>-9</v>
      </c>
      <c r="C258" t="s">
        <v>207</v>
      </c>
      <c r="D258" s="2">
        <v>317398267.26999998</v>
      </c>
    </row>
    <row r="259" spans="1:4">
      <c r="A259" s="45" t="s">
        <v>208</v>
      </c>
      <c r="B259">
        <v>-4</v>
      </c>
      <c r="C259" t="s">
        <v>209</v>
      </c>
      <c r="D259" s="2">
        <v>408370776.81</v>
      </c>
    </row>
    <row r="260" spans="1:4">
      <c r="A260" s="45" t="s">
        <v>210</v>
      </c>
      <c r="B260">
        <v>-9</v>
      </c>
      <c r="C260" t="s">
        <v>560</v>
      </c>
      <c r="D260" s="2">
        <v>681811130.83000004</v>
      </c>
    </row>
    <row r="261" spans="1:4">
      <c r="A261" s="45" t="s">
        <v>211</v>
      </c>
      <c r="B261">
        <v>-7</v>
      </c>
      <c r="C261" t="s">
        <v>212</v>
      </c>
      <c r="D261" s="2">
        <v>-273440354.01999998</v>
      </c>
    </row>
    <row r="262" spans="1:4">
      <c r="A262" s="45" t="s">
        <v>213</v>
      </c>
      <c r="B262">
        <v>0</v>
      </c>
      <c r="C262" t="s">
        <v>561</v>
      </c>
      <c r="D262" s="2">
        <v>-90972509.540000007</v>
      </c>
    </row>
    <row r="263" spans="1:4">
      <c r="A263" s="45" t="s">
        <v>214</v>
      </c>
      <c r="B263">
        <v>-1</v>
      </c>
      <c r="C263" t="s">
        <v>562</v>
      </c>
      <c r="D263" s="2">
        <v>-90972509.540000007</v>
      </c>
    </row>
    <row r="264" spans="1:4">
      <c r="A264" s="45" t="s">
        <v>297</v>
      </c>
      <c r="B264">
        <v>-8</v>
      </c>
      <c r="C264" t="s">
        <v>298</v>
      </c>
      <c r="D264" s="2">
        <v>10980337.07</v>
      </c>
    </row>
    <row r="265" spans="1:4">
      <c r="A265" s="45" t="s">
        <v>299</v>
      </c>
      <c r="B265">
        <v>-9</v>
      </c>
      <c r="C265" t="s">
        <v>298</v>
      </c>
      <c r="D265" s="2">
        <v>10980337.07</v>
      </c>
    </row>
    <row r="266" spans="1:4">
      <c r="A266" s="45" t="s">
        <v>300</v>
      </c>
      <c r="B266">
        <v>-7</v>
      </c>
      <c r="C266" t="s">
        <v>563</v>
      </c>
      <c r="D266" s="2">
        <v>10980337.07</v>
      </c>
    </row>
    <row r="267" spans="1:4">
      <c r="A267" s="45" t="s">
        <v>680</v>
      </c>
      <c r="B267">
        <v>-1</v>
      </c>
      <c r="C267" t="s">
        <v>681</v>
      </c>
      <c r="D267" s="2">
        <v>-828363678.90999997</v>
      </c>
    </row>
    <row r="268" spans="1:4">
      <c r="A268" s="45" t="s">
        <v>682</v>
      </c>
      <c r="B268">
        <v>-5</v>
      </c>
      <c r="C268" t="s">
        <v>681</v>
      </c>
      <c r="D268" s="2">
        <v>-828363678.90999997</v>
      </c>
    </row>
    <row r="269" spans="1:4">
      <c r="A269" s="45" t="s">
        <v>683</v>
      </c>
      <c r="B269">
        <v>0</v>
      </c>
      <c r="C269" t="s">
        <v>681</v>
      </c>
      <c r="D269" s="2">
        <v>-828363678.90999997</v>
      </c>
    </row>
    <row r="270" spans="1:4">
      <c r="A270" s="45" t="s">
        <v>684</v>
      </c>
      <c r="B270">
        <v>-5</v>
      </c>
      <c r="C270" t="s">
        <v>685</v>
      </c>
      <c r="D270" s="2">
        <v>-828363678.90999997</v>
      </c>
    </row>
    <row r="271" spans="1:4">
      <c r="A271" s="45">
        <v>7</v>
      </c>
      <c r="B271">
        <v>-5</v>
      </c>
      <c r="C271" t="s">
        <v>215</v>
      </c>
      <c r="D271" s="2">
        <v>1074796645.23</v>
      </c>
    </row>
    <row r="272" spans="1:4">
      <c r="A272" s="45" t="s">
        <v>216</v>
      </c>
      <c r="B272">
        <v>-2</v>
      </c>
      <c r="C272" t="s">
        <v>217</v>
      </c>
      <c r="D272" s="2">
        <v>1074796645.23</v>
      </c>
    </row>
    <row r="273" spans="1:4">
      <c r="A273" s="45" t="s">
        <v>339</v>
      </c>
      <c r="B273">
        <v>-5</v>
      </c>
      <c r="C273" t="s">
        <v>218</v>
      </c>
      <c r="D273" s="2">
        <v>9226931.5999999996</v>
      </c>
    </row>
    <row r="274" spans="1:4">
      <c r="A274" s="45" t="s">
        <v>219</v>
      </c>
      <c r="B274">
        <v>-9</v>
      </c>
      <c r="C274" t="s">
        <v>220</v>
      </c>
      <c r="D274" s="2">
        <v>9226931.5999999996</v>
      </c>
    </row>
    <row r="275" spans="1:4">
      <c r="A275" s="45" t="s">
        <v>221</v>
      </c>
      <c r="B275">
        <v>0</v>
      </c>
      <c r="C275" t="s">
        <v>222</v>
      </c>
      <c r="D275" s="2">
        <v>9226931.5999999996</v>
      </c>
    </row>
    <row r="276" spans="1:4">
      <c r="A276" s="45" t="s">
        <v>223</v>
      </c>
      <c r="B276">
        <v>-9</v>
      </c>
      <c r="C276" t="s">
        <v>564</v>
      </c>
      <c r="D276" s="2">
        <v>9226931.5999999996</v>
      </c>
    </row>
    <row r="277" spans="1:4">
      <c r="A277" s="45" t="s">
        <v>340</v>
      </c>
      <c r="B277">
        <v>-3</v>
      </c>
      <c r="C277" t="s">
        <v>224</v>
      </c>
      <c r="D277" s="2">
        <v>82742176.739999995</v>
      </c>
    </row>
    <row r="278" spans="1:4">
      <c r="A278" s="45" t="s">
        <v>225</v>
      </c>
      <c r="B278">
        <v>-7</v>
      </c>
      <c r="C278" t="s">
        <v>226</v>
      </c>
      <c r="D278" s="2">
        <v>34524345.469999999</v>
      </c>
    </row>
    <row r="279" spans="1:4">
      <c r="A279" s="45" t="s">
        <v>227</v>
      </c>
      <c r="B279">
        <v>-5</v>
      </c>
      <c r="C279" t="s">
        <v>565</v>
      </c>
      <c r="D279" s="2">
        <v>34524345.469999999</v>
      </c>
    </row>
    <row r="280" spans="1:4">
      <c r="A280" s="45" t="s">
        <v>228</v>
      </c>
      <c r="B280">
        <v>-3</v>
      </c>
      <c r="C280" t="s">
        <v>566</v>
      </c>
      <c r="D280" s="2">
        <v>34524345.469999999</v>
      </c>
    </row>
    <row r="281" spans="1:4">
      <c r="A281" s="45" t="s">
        <v>567</v>
      </c>
      <c r="B281">
        <v>0</v>
      </c>
      <c r="C281" t="s">
        <v>568</v>
      </c>
      <c r="D281" s="2">
        <v>24203959.329999998</v>
      </c>
    </row>
    <row r="282" spans="1:4">
      <c r="A282" s="45" t="s">
        <v>569</v>
      </c>
      <c r="B282">
        <v>-9</v>
      </c>
      <c r="C282" t="s">
        <v>570</v>
      </c>
      <c r="D282" s="2">
        <v>24203959.329999998</v>
      </c>
    </row>
    <row r="283" spans="1:4">
      <c r="A283" s="45" t="s">
        <v>571</v>
      </c>
      <c r="B283">
        <v>-7</v>
      </c>
      <c r="C283" t="s">
        <v>572</v>
      </c>
      <c r="D283" s="2">
        <v>21900744.82</v>
      </c>
    </row>
    <row r="284" spans="1:4">
      <c r="A284" s="45" t="s">
        <v>573</v>
      </c>
      <c r="B284">
        <v>-5</v>
      </c>
      <c r="C284" t="s">
        <v>574</v>
      </c>
      <c r="D284" s="2">
        <v>1292261.17</v>
      </c>
    </row>
    <row r="285" spans="1:4">
      <c r="A285" s="45" t="s">
        <v>575</v>
      </c>
      <c r="B285">
        <v>-3</v>
      </c>
      <c r="C285" t="s">
        <v>576</v>
      </c>
      <c r="D285" s="2">
        <v>1010953.34</v>
      </c>
    </row>
    <row r="286" spans="1:4">
      <c r="A286" s="45" t="s">
        <v>577</v>
      </c>
      <c r="B286">
        <v>-8</v>
      </c>
      <c r="C286" t="s">
        <v>578</v>
      </c>
      <c r="D286" s="2">
        <v>24013871.940000001</v>
      </c>
    </row>
    <row r="287" spans="1:4">
      <c r="A287" s="47" t="s">
        <v>579</v>
      </c>
      <c r="B287">
        <v>-3</v>
      </c>
      <c r="C287" t="s">
        <v>580</v>
      </c>
      <c r="D287" s="2">
        <v>24013871.940000001</v>
      </c>
    </row>
    <row r="288" spans="1:4">
      <c r="A288" s="45" t="s">
        <v>581</v>
      </c>
      <c r="B288">
        <v>-8</v>
      </c>
      <c r="C288" t="s">
        <v>582</v>
      </c>
      <c r="D288" s="2">
        <v>24013871.940000001</v>
      </c>
    </row>
    <row r="289" spans="1:4">
      <c r="A289" s="45" t="s">
        <v>332</v>
      </c>
      <c r="B289">
        <v>-8</v>
      </c>
      <c r="C289" t="s">
        <v>229</v>
      </c>
      <c r="D289" s="2">
        <v>912414694.49000001</v>
      </c>
    </row>
    <row r="290" spans="1:4">
      <c r="A290" s="45" t="s">
        <v>230</v>
      </c>
      <c r="B290">
        <v>-5</v>
      </c>
      <c r="C290" t="s">
        <v>231</v>
      </c>
      <c r="D290" s="2">
        <v>912414694.49000001</v>
      </c>
    </row>
    <row r="291" spans="1:4">
      <c r="A291" s="45" t="s">
        <v>232</v>
      </c>
      <c r="B291">
        <v>0</v>
      </c>
      <c r="C291" t="s">
        <v>231</v>
      </c>
      <c r="D291" s="2">
        <v>912414694.49000001</v>
      </c>
    </row>
    <row r="292" spans="1:4">
      <c r="A292" s="45" t="s">
        <v>233</v>
      </c>
      <c r="B292">
        <v>-5</v>
      </c>
      <c r="C292" t="s">
        <v>314</v>
      </c>
      <c r="D292" s="2">
        <v>879111632.69000006</v>
      </c>
    </row>
    <row r="293" spans="1:4">
      <c r="A293" s="45" t="s">
        <v>234</v>
      </c>
      <c r="B293">
        <v>-2</v>
      </c>
      <c r="C293" t="s">
        <v>235</v>
      </c>
      <c r="D293" s="2">
        <v>33303061.800000001</v>
      </c>
    </row>
    <row r="294" spans="1:4">
      <c r="A294" s="45" t="s">
        <v>335</v>
      </c>
      <c r="B294">
        <v>-6</v>
      </c>
      <c r="C294" t="s">
        <v>236</v>
      </c>
      <c r="D294" s="2">
        <v>70412842.400000006</v>
      </c>
    </row>
    <row r="295" spans="1:4">
      <c r="A295" s="45" t="s">
        <v>237</v>
      </c>
      <c r="B295">
        <v>0</v>
      </c>
      <c r="C295" t="s">
        <v>238</v>
      </c>
      <c r="D295" s="2">
        <v>70412842.400000006</v>
      </c>
    </row>
    <row r="296" spans="1:4">
      <c r="A296" s="46" t="s">
        <v>239</v>
      </c>
      <c r="B296">
        <v>0</v>
      </c>
      <c r="C296" t="s">
        <v>583</v>
      </c>
      <c r="D296">
        <v>11.86</v>
      </c>
    </row>
    <row r="297" spans="1:4">
      <c r="A297" s="36" t="s">
        <v>240</v>
      </c>
      <c r="B297" s="36">
        <v>-5</v>
      </c>
      <c r="C297" t="s">
        <v>584</v>
      </c>
      <c r="D297" s="2">
        <v>11.86</v>
      </c>
    </row>
    <row r="298" spans="1:4">
      <c r="A298" s="36" t="s">
        <v>336</v>
      </c>
      <c r="B298">
        <v>-9</v>
      </c>
      <c r="C298" t="s">
        <v>585</v>
      </c>
      <c r="D298" s="2">
        <v>70412757.760000005</v>
      </c>
    </row>
    <row r="299" spans="1:4">
      <c r="A299" s="36" t="s">
        <v>333</v>
      </c>
      <c r="B299">
        <v>-1</v>
      </c>
      <c r="C299" t="s">
        <v>586</v>
      </c>
      <c r="D299" s="2">
        <v>70412757.760000005</v>
      </c>
    </row>
    <row r="300" spans="1:4">
      <c r="A300" s="36" t="s">
        <v>241</v>
      </c>
      <c r="B300">
        <v>-9</v>
      </c>
      <c r="C300" t="s">
        <v>587</v>
      </c>
      <c r="D300" s="2">
        <v>72.78</v>
      </c>
    </row>
    <row r="301" spans="1:4">
      <c r="A301" s="36"/>
    </row>
    <row r="302" spans="1:4">
      <c r="A302" s="36"/>
    </row>
    <row r="303" spans="1:4">
      <c r="A303" s="36" t="s">
        <v>617</v>
      </c>
      <c r="B303" t="s">
        <v>618</v>
      </c>
      <c r="C303" t="s">
        <v>717</v>
      </c>
      <c r="D303" t="s">
        <v>718</v>
      </c>
    </row>
    <row r="304" spans="1:4">
      <c r="A304" s="36" t="s">
        <v>656</v>
      </c>
      <c r="B304" t="s">
        <v>657</v>
      </c>
      <c r="C304" t="s">
        <v>658</v>
      </c>
    </row>
    <row r="305" spans="1:4">
      <c r="A305" s="36" t="s">
        <v>659</v>
      </c>
      <c r="C305" t="s">
        <v>719</v>
      </c>
      <c r="D305" t="s">
        <v>720</v>
      </c>
    </row>
    <row r="306" spans="1:4">
      <c r="A306" s="36" t="s">
        <v>721</v>
      </c>
      <c r="B306" t="s">
        <v>660</v>
      </c>
      <c r="C306" t="s">
        <v>722</v>
      </c>
      <c r="D306" t="s">
        <v>732</v>
      </c>
    </row>
    <row r="307" spans="1:4">
      <c r="A307" s="49">
        <v>0.65390046296296289</v>
      </c>
      <c r="C307" t="s">
        <v>713</v>
      </c>
      <c r="D307" t="s">
        <v>714</v>
      </c>
    </row>
    <row r="308" spans="1:4">
      <c r="A308" s="36" t="s">
        <v>652</v>
      </c>
      <c r="B308" t="s">
        <v>653</v>
      </c>
      <c r="C308" t="s">
        <v>728</v>
      </c>
      <c r="D308" t="s">
        <v>729</v>
      </c>
    </row>
    <row r="309" spans="1:4">
      <c r="A309" s="36" t="s">
        <v>617</v>
      </c>
      <c r="B309" t="s">
        <v>618</v>
      </c>
      <c r="C309" t="s">
        <v>717</v>
      </c>
      <c r="D309" t="s">
        <v>718</v>
      </c>
    </row>
    <row r="310" spans="1:4">
      <c r="A310" s="36" t="s">
        <v>619</v>
      </c>
      <c r="B310" t="s">
        <v>620</v>
      </c>
      <c r="C310" t="s">
        <v>621</v>
      </c>
    </row>
    <row r="311" spans="1:4">
      <c r="A311" s="36" t="s">
        <v>617</v>
      </c>
      <c r="B311" t="s">
        <v>618</v>
      </c>
      <c r="C311" t="s">
        <v>717</v>
      </c>
      <c r="D311" t="s">
        <v>718</v>
      </c>
    </row>
    <row r="312" spans="1:4">
      <c r="A312" s="36"/>
    </row>
    <row r="313" spans="1:4">
      <c r="A313" s="36" t="s">
        <v>588</v>
      </c>
      <c r="B313">
        <v>-1</v>
      </c>
      <c r="C313" t="s">
        <v>589</v>
      </c>
      <c r="D313" s="2">
        <v>72.78</v>
      </c>
    </row>
    <row r="314" spans="1:4">
      <c r="A314" s="36">
        <v>9</v>
      </c>
      <c r="B314">
        <v>-8</v>
      </c>
      <c r="C314" t="s">
        <v>626</v>
      </c>
      <c r="D314" s="2">
        <v>74647059.890000001</v>
      </c>
    </row>
    <row r="315" spans="1:4">
      <c r="A315" s="36" t="s">
        <v>640</v>
      </c>
      <c r="B315">
        <v>-8</v>
      </c>
      <c r="C315" t="s">
        <v>626</v>
      </c>
      <c r="D315" s="2">
        <v>74647059.890000001</v>
      </c>
    </row>
    <row r="316" spans="1:4">
      <c r="A316" s="36" t="s">
        <v>641</v>
      </c>
      <c r="B316">
        <v>-1</v>
      </c>
      <c r="C316" t="s">
        <v>629</v>
      </c>
      <c r="D316" s="2">
        <v>74647059.890000001</v>
      </c>
    </row>
    <row r="317" spans="1:4">
      <c r="A317" s="36" t="s">
        <v>642</v>
      </c>
      <c r="B317">
        <v>-5</v>
      </c>
      <c r="C317" t="s">
        <v>643</v>
      </c>
      <c r="D317" s="2">
        <v>74647059.890000001</v>
      </c>
    </row>
    <row r="318" spans="1:4">
      <c r="A318" s="36" t="s">
        <v>644</v>
      </c>
      <c r="B318">
        <v>-1</v>
      </c>
      <c r="C318" t="s">
        <v>645</v>
      </c>
      <c r="D318" s="2">
        <v>74647059.890000001</v>
      </c>
    </row>
    <row r="319" spans="1:4">
      <c r="A319" s="36" t="s">
        <v>646</v>
      </c>
      <c r="B319">
        <v>-6</v>
      </c>
      <c r="C319" t="s">
        <v>647</v>
      </c>
      <c r="D319" s="2">
        <v>35006416.810000002</v>
      </c>
    </row>
    <row r="320" spans="1:4">
      <c r="A320" s="45" t="s">
        <v>648</v>
      </c>
      <c r="B320">
        <v>-4</v>
      </c>
      <c r="C320" t="s">
        <v>649</v>
      </c>
      <c r="D320" s="2">
        <v>39640643.079999998</v>
      </c>
    </row>
    <row r="321" spans="1:4">
      <c r="A321" s="46"/>
    </row>
    <row r="322" spans="1:4">
      <c r="A322" s="46"/>
      <c r="C322" t="s">
        <v>244</v>
      </c>
      <c r="D322" t="s">
        <v>733</v>
      </c>
    </row>
    <row r="323" spans="1:4">
      <c r="A323" s="45"/>
    </row>
    <row r="363" spans="1:4">
      <c r="A363" t="s">
        <v>617</v>
      </c>
      <c r="B363" t="s">
        <v>618</v>
      </c>
      <c r="C363" t="s">
        <v>717</v>
      </c>
      <c r="D363" t="s">
        <v>718</v>
      </c>
    </row>
    <row r="364" spans="1:4">
      <c r="A364" t="s">
        <v>656</v>
      </c>
      <c r="B364" t="s">
        <v>657</v>
      </c>
      <c r="C364" t="s">
        <v>658</v>
      </c>
    </row>
    <row r="365" spans="1:4">
      <c r="A365" t="s">
        <v>659</v>
      </c>
      <c r="C365" t="s">
        <v>719</v>
      </c>
      <c r="D365" t="s">
        <v>720</v>
      </c>
    </row>
    <row r="366" spans="1:4">
      <c r="A366" t="s">
        <v>721</v>
      </c>
      <c r="B366" t="s">
        <v>660</v>
      </c>
      <c r="C366" t="s">
        <v>722</v>
      </c>
      <c r="D366" t="s">
        <v>734</v>
      </c>
    </row>
    <row r="367" spans="1:4">
      <c r="A367" s="50">
        <v>0.65390046296296289</v>
      </c>
      <c r="C367" t="s">
        <v>713</v>
      </c>
      <c r="D367" t="s">
        <v>714</v>
      </c>
    </row>
    <row r="368" spans="1:4">
      <c r="A368" t="s">
        <v>652</v>
      </c>
      <c r="B368" t="s">
        <v>653</v>
      </c>
      <c r="C368" t="s">
        <v>728</v>
      </c>
      <c r="D368" t="s">
        <v>729</v>
      </c>
    </row>
    <row r="369" spans="1:4">
      <c r="A369" t="s">
        <v>617</v>
      </c>
      <c r="B369" t="s">
        <v>618</v>
      </c>
      <c r="C369" t="s">
        <v>717</v>
      </c>
      <c r="D369" t="s">
        <v>718</v>
      </c>
    </row>
    <row r="370" spans="1:4">
      <c r="C370" t="s">
        <v>735</v>
      </c>
      <c r="D370" t="s">
        <v>736</v>
      </c>
    </row>
    <row r="371" spans="1:4">
      <c r="A371" t="s">
        <v>617</v>
      </c>
      <c r="B371" t="s">
        <v>618</v>
      </c>
      <c r="C371" t="s">
        <v>717</v>
      </c>
      <c r="D371" t="s">
        <v>718</v>
      </c>
    </row>
    <row r="379" spans="1:4">
      <c r="A379" t="s">
        <v>697</v>
      </c>
      <c r="B379" t="s">
        <v>673</v>
      </c>
      <c r="C379" t="s">
        <v>698</v>
      </c>
      <c r="D379" t="s">
        <v>699</v>
      </c>
    </row>
    <row r="380" spans="1:4">
      <c r="A380" t="s">
        <v>661</v>
      </c>
      <c r="C380" t="s">
        <v>737</v>
      </c>
      <c r="D380" t="s">
        <v>738</v>
      </c>
    </row>
    <row r="381" spans="1:4">
      <c r="C381" t="s">
        <v>700</v>
      </c>
    </row>
    <row r="389" spans="1:4">
      <c r="A389" t="s">
        <v>663</v>
      </c>
      <c r="B389" t="s">
        <v>664</v>
      </c>
      <c r="C389" t="s">
        <v>665</v>
      </c>
      <c r="D389" t="s">
        <v>666</v>
      </c>
    </row>
    <row r="390" spans="1:4">
      <c r="A390" t="s">
        <v>667</v>
      </c>
      <c r="B390" t="s">
        <v>668</v>
      </c>
      <c r="C390" t="e">
        <f>- RESPONSAVEL PELOS           VICE-PRESIDENTE</f>
        <v>#NAME?</v>
      </c>
      <c r="D390" t="s">
        <v>662</v>
      </c>
    </row>
    <row r="391" spans="1:4">
      <c r="A391" t="s">
        <v>669</v>
      </c>
      <c r="B391" t="s">
        <v>670</v>
      </c>
      <c r="C391" t="s">
        <v>671</v>
      </c>
    </row>
    <row r="399" spans="1:4">
      <c r="A399" t="s">
        <v>672</v>
      </c>
      <c r="B399" t="s">
        <v>673</v>
      </c>
      <c r="C399" t="s">
        <v>674</v>
      </c>
      <c r="D399" t="s">
        <v>701</v>
      </c>
    </row>
    <row r="400" spans="1:4">
      <c r="A400" t="s">
        <v>667</v>
      </c>
      <c r="B400" t="s">
        <v>668</v>
      </c>
      <c r="C400" t="s">
        <v>662</v>
      </c>
      <c r="D400" t="s">
        <v>702</v>
      </c>
    </row>
    <row r="401" spans="1:4">
      <c r="D401" t="s">
        <v>703</v>
      </c>
    </row>
    <row r="409" spans="1:4">
      <c r="A409" t="s">
        <v>704</v>
      </c>
      <c r="B409" t="s">
        <v>705</v>
      </c>
      <c r="C409" t="s">
        <v>706</v>
      </c>
      <c r="D409" t="s">
        <v>707</v>
      </c>
    </row>
    <row r="410" spans="1:4">
      <c r="A410" t="s">
        <v>667</v>
      </c>
      <c r="B410" t="s">
        <v>668</v>
      </c>
      <c r="C410" t="s">
        <v>662</v>
      </c>
      <c r="D410" t="s">
        <v>708</v>
      </c>
    </row>
    <row r="411" spans="1:4">
      <c r="D411" t="s">
        <v>709</v>
      </c>
    </row>
    <row r="419" spans="1:4">
      <c r="A419" t="s">
        <v>617</v>
      </c>
      <c r="B419" t="s">
        <v>618</v>
      </c>
      <c r="C419" t="s">
        <v>717</v>
      </c>
      <c r="D419" t="s">
        <v>718</v>
      </c>
    </row>
    <row r="420" spans="1:4">
      <c r="A420" t="s">
        <v>656</v>
      </c>
      <c r="B420" t="s">
        <v>657</v>
      </c>
      <c r="C420" t="s">
        <v>658</v>
      </c>
    </row>
    <row r="421" spans="1:4">
      <c r="A421" t="s">
        <v>659</v>
      </c>
      <c r="C421" t="s">
        <v>719</v>
      </c>
      <c r="D421" t="s">
        <v>739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/>
  <dimension ref="A1:O380"/>
  <sheetViews>
    <sheetView zoomScale="80" zoomScaleNormal="80" workbookViewId="0">
      <pane ySplit="6" topLeftCell="A43" activePane="bottomLeft" state="frozen"/>
      <selection pane="bottomLeft" activeCell="L26" sqref="L26"/>
    </sheetView>
  </sheetViews>
  <sheetFormatPr defaultColWidth="9.140625" defaultRowHeight="12.75"/>
  <cols>
    <col min="1" max="1" width="15.140625" style="93" bestFit="1" customWidth="1"/>
    <col min="2" max="2" width="3.42578125" style="93" customWidth="1"/>
    <col min="3" max="3" width="58.7109375" style="93" bestFit="1" customWidth="1"/>
    <col min="4" max="4" width="22.85546875" style="93" customWidth="1"/>
    <col min="5" max="5" width="17.7109375" style="95" hidden="1" customWidth="1"/>
    <col min="6" max="7" width="17.7109375" style="95" customWidth="1"/>
    <col min="8" max="8" width="2.42578125" style="93" customWidth="1"/>
    <col min="9" max="9" width="16.5703125" style="95" hidden="1" customWidth="1"/>
    <col min="10" max="10" width="1.140625" style="96" customWidth="1"/>
    <col min="11" max="11" width="16.140625" style="93" bestFit="1" customWidth="1"/>
    <col min="12" max="12" width="56.140625" style="93" bestFit="1" customWidth="1"/>
    <col min="13" max="13" width="19.5703125" style="93" customWidth="1"/>
    <col min="14" max="14" width="15" style="93" bestFit="1" customWidth="1"/>
    <col min="15" max="15" width="14.28515625" style="93" bestFit="1" customWidth="1"/>
    <col min="16" max="16384" width="9.140625" style="93"/>
  </cols>
  <sheetData>
    <row r="1" spans="1:13">
      <c r="A1" s="92" t="s">
        <v>961</v>
      </c>
      <c r="B1" s="93" t="s">
        <v>675</v>
      </c>
      <c r="C1" s="93" t="s">
        <v>962</v>
      </c>
      <c r="D1" s="93" t="s">
        <v>712</v>
      </c>
    </row>
    <row r="2" spans="1:13">
      <c r="A2" s="97">
        <v>0.70958333333333334</v>
      </c>
      <c r="C2" s="93" t="s">
        <v>963</v>
      </c>
      <c r="D2" s="93" t="s">
        <v>964</v>
      </c>
    </row>
    <row r="3" spans="1:13">
      <c r="A3" s="92" t="s">
        <v>652</v>
      </c>
      <c r="B3" s="93" t="s">
        <v>653</v>
      </c>
      <c r="C3" s="93" t="s">
        <v>965</v>
      </c>
      <c r="D3" s="93" t="s">
        <v>966</v>
      </c>
    </row>
    <row r="4" spans="1:13">
      <c r="A4" s="92" t="s">
        <v>617</v>
      </c>
      <c r="B4" s="93" t="s">
        <v>618</v>
      </c>
      <c r="C4" s="93" t="s">
        <v>967</v>
      </c>
      <c r="D4" s="93" t="s">
        <v>968</v>
      </c>
    </row>
    <row r="5" spans="1:13">
      <c r="A5" s="92" t="s">
        <v>619</v>
      </c>
      <c r="B5" s="93" t="s">
        <v>620</v>
      </c>
      <c r="C5" s="93" t="s">
        <v>621</v>
      </c>
    </row>
    <row r="6" spans="1:13">
      <c r="A6" s="92" t="s">
        <v>617</v>
      </c>
      <c r="B6" s="93" t="s">
        <v>618</v>
      </c>
      <c r="C6" s="93" t="s">
        <v>967</v>
      </c>
      <c r="D6" s="98">
        <v>2015</v>
      </c>
      <c r="E6" s="102" t="s">
        <v>369</v>
      </c>
      <c r="F6" s="102"/>
      <c r="G6" s="102"/>
      <c r="H6" s="98"/>
      <c r="I6" s="102" t="s">
        <v>1011</v>
      </c>
      <c r="J6" s="96" t="s">
        <v>981</v>
      </c>
    </row>
    <row r="7" spans="1:13">
      <c r="A7" s="92">
        <v>1</v>
      </c>
      <c r="B7" s="93">
        <v>-7</v>
      </c>
      <c r="C7" s="93" t="s">
        <v>346</v>
      </c>
      <c r="D7" s="94">
        <v>1500896499.3099999</v>
      </c>
      <c r="E7" s="95">
        <f>VLOOKUP(A7,'Balancete 2014'!A:D,4,0)</f>
        <v>1641432710.99</v>
      </c>
      <c r="I7" s="95">
        <v>1154384180.3499999</v>
      </c>
    </row>
    <row r="8" spans="1:13">
      <c r="A8" s="92" t="s">
        <v>315</v>
      </c>
      <c r="B8" s="93">
        <v>-4</v>
      </c>
      <c r="C8" s="93" t="s">
        <v>347</v>
      </c>
      <c r="D8" s="94">
        <v>578.22</v>
      </c>
      <c r="E8" s="95">
        <f>VLOOKUP(A8,'Balancete 2014'!A:D,4,0)</f>
        <v>276.11</v>
      </c>
      <c r="I8" s="95">
        <v>2130.14</v>
      </c>
      <c r="K8" s="106"/>
      <c r="L8" s="106" t="s">
        <v>982</v>
      </c>
    </row>
    <row r="9" spans="1:13">
      <c r="A9" s="92" t="s">
        <v>348</v>
      </c>
      <c r="B9" s="93">
        <v>-2</v>
      </c>
      <c r="C9" s="93" t="s">
        <v>349</v>
      </c>
      <c r="D9" s="94">
        <v>526.24</v>
      </c>
      <c r="E9" s="95">
        <f>VLOOKUP(A9,'Balancete 2014'!A:D,4,0)</f>
        <v>224.13</v>
      </c>
      <c r="I9" s="95">
        <v>289.8</v>
      </c>
      <c r="K9" s="103">
        <v>7</v>
      </c>
      <c r="L9" s="104">
        <f>+D270</f>
        <v>148844775.94999999</v>
      </c>
    </row>
    <row r="10" spans="1:13">
      <c r="A10" s="92" t="s">
        <v>350</v>
      </c>
      <c r="B10" s="93">
        <v>0</v>
      </c>
      <c r="C10" s="93" t="s">
        <v>349</v>
      </c>
      <c r="D10" s="94">
        <v>526.24</v>
      </c>
      <c r="E10" s="95">
        <f>VLOOKUP(A10,'Balancete 2014'!A:D,4,0)</f>
        <v>224.13</v>
      </c>
      <c r="I10" s="95">
        <v>289.8</v>
      </c>
      <c r="K10" s="103">
        <v>8</v>
      </c>
      <c r="L10" s="104">
        <f>-D98</f>
        <v>-70986812.579999998</v>
      </c>
    </row>
    <row r="11" spans="1:13">
      <c r="A11" s="92" t="s">
        <v>352</v>
      </c>
      <c r="B11" s="93">
        <v>-5</v>
      </c>
      <c r="C11" s="93" t="s">
        <v>349</v>
      </c>
      <c r="D11" s="94">
        <v>526.24</v>
      </c>
      <c r="E11" s="95">
        <f>VLOOKUP(A11,'Balancete 2014'!A:D,4,0)</f>
        <v>224.13</v>
      </c>
      <c r="I11" s="95">
        <v>289.8</v>
      </c>
      <c r="K11" s="103" t="s">
        <v>983</v>
      </c>
      <c r="L11" s="104">
        <f>+L9+L10-8556915.62</f>
        <v>69301047.749999985</v>
      </c>
      <c r="M11" s="100">
        <f>+L9+L10</f>
        <v>77857963.36999999</v>
      </c>
    </row>
    <row r="12" spans="1:13">
      <c r="A12" s="92" t="s">
        <v>353</v>
      </c>
      <c r="B12" s="93">
        <v>-3</v>
      </c>
      <c r="C12" s="93" t="s">
        <v>349</v>
      </c>
      <c r="D12" s="94">
        <v>526.24</v>
      </c>
      <c r="E12" s="95">
        <f>VLOOKUP(A12,'Balancete 2014'!A:D,4,0)</f>
        <v>224.13</v>
      </c>
      <c r="I12" s="95">
        <v>289.8</v>
      </c>
      <c r="K12" s="105">
        <v>0.05</v>
      </c>
      <c r="L12" s="104">
        <f>+L11*K12</f>
        <v>3465052.3874999993</v>
      </c>
    </row>
    <row r="13" spans="1:13">
      <c r="A13" s="92" t="s">
        <v>354</v>
      </c>
      <c r="B13" s="93">
        <v>0</v>
      </c>
      <c r="C13" s="93" t="s">
        <v>355</v>
      </c>
      <c r="D13" s="94">
        <v>51.98</v>
      </c>
      <c r="E13" s="95">
        <f>VLOOKUP(A13,'Balancete 2014'!A:D,4,0)</f>
        <v>51.98</v>
      </c>
      <c r="I13" s="95">
        <v>1840.34</v>
      </c>
      <c r="K13" s="103" t="s">
        <v>984</v>
      </c>
      <c r="L13" s="104">
        <f>+L11-L12</f>
        <v>65835995.362499982</v>
      </c>
    </row>
    <row r="14" spans="1:13">
      <c r="A14" s="92" t="s">
        <v>356</v>
      </c>
      <c r="B14" s="93">
        <v>-2</v>
      </c>
      <c r="C14" s="93" t="s">
        <v>355</v>
      </c>
      <c r="D14" s="94">
        <v>51.98</v>
      </c>
      <c r="E14" s="95">
        <f>VLOOKUP(A14,'Balancete 2014'!A:D,4,0)</f>
        <v>51.98</v>
      </c>
      <c r="I14" s="95">
        <v>1840.34</v>
      </c>
      <c r="K14" s="107">
        <v>0.25</v>
      </c>
      <c r="L14" s="108">
        <f>+L13*K14</f>
        <v>16458998.840624996</v>
      </c>
    </row>
    <row r="15" spans="1:13">
      <c r="A15" s="92" t="s">
        <v>357</v>
      </c>
      <c r="B15" s="93">
        <v>-8</v>
      </c>
      <c r="C15" s="93" t="s">
        <v>355</v>
      </c>
      <c r="D15" s="94">
        <v>51.98</v>
      </c>
      <c r="E15" s="95">
        <f>VLOOKUP(A15,'Balancete 2014'!A:D,4,0)</f>
        <v>51.98</v>
      </c>
      <c r="I15" s="95">
        <v>1840.34</v>
      </c>
      <c r="K15" s="93" t="s">
        <v>985</v>
      </c>
      <c r="L15" s="95">
        <f>+L13-L14</f>
        <v>49376996.521874987</v>
      </c>
    </row>
    <row r="16" spans="1:13">
      <c r="A16" s="92" t="s">
        <v>358</v>
      </c>
      <c r="B16" s="93">
        <v>-6</v>
      </c>
      <c r="C16" s="93" t="s">
        <v>355</v>
      </c>
      <c r="D16" s="94">
        <v>51.98</v>
      </c>
      <c r="E16" s="95">
        <f>VLOOKUP(A16,'Balancete 2014'!A:D,4,0)</f>
        <v>51.98</v>
      </c>
      <c r="I16" s="95">
        <v>1840.34</v>
      </c>
      <c r="L16" s="95"/>
    </row>
    <row r="17" spans="1:12">
      <c r="A17" s="92" t="s">
        <v>316</v>
      </c>
      <c r="B17" s="93">
        <v>-1</v>
      </c>
      <c r="C17" s="93" t="s">
        <v>359</v>
      </c>
      <c r="D17" s="94">
        <v>103286039.34999999</v>
      </c>
      <c r="E17" s="95">
        <f>VLOOKUP(A17,'Balancete 2014'!A:D,4,0)</f>
        <v>93987063.079999998</v>
      </c>
      <c r="I17" s="95">
        <v>84760131.480000004</v>
      </c>
      <c r="L17" s="95">
        <v>-8556915.6199999992</v>
      </c>
    </row>
    <row r="18" spans="1:12">
      <c r="A18" s="92" t="s">
        <v>360</v>
      </c>
      <c r="B18" s="93">
        <v>0</v>
      </c>
      <c r="C18" s="93" t="s">
        <v>361</v>
      </c>
      <c r="D18" s="94">
        <v>103286039.34999999</v>
      </c>
      <c r="E18" s="95">
        <f>VLOOKUP(A18,'Balancete 2014'!A:D,4,0)</f>
        <v>93987063.079999998</v>
      </c>
      <c r="I18" s="95">
        <v>84760131.480000004</v>
      </c>
      <c r="J18" s="99">
        <f>+D18-E18</f>
        <v>9298976.2699999958</v>
      </c>
    </row>
    <row r="19" spans="1:12">
      <c r="A19" s="92" t="s">
        <v>362</v>
      </c>
      <c r="B19" s="93">
        <v>-3</v>
      </c>
      <c r="C19" s="93" t="s">
        <v>363</v>
      </c>
      <c r="D19" s="94">
        <v>103286039.34999999</v>
      </c>
      <c r="E19" s="95">
        <f>VLOOKUP(A19,'Balancete 2014'!A:D,4,0)</f>
        <v>93987063.079999998</v>
      </c>
      <c r="I19" s="95">
        <v>84760131.480000004</v>
      </c>
      <c r="J19" s="99">
        <f t="shared" ref="J19:J82" si="0">+D19-E19</f>
        <v>9298976.2699999958</v>
      </c>
    </row>
    <row r="20" spans="1:12">
      <c r="A20" s="92" t="s">
        <v>372</v>
      </c>
      <c r="B20" s="93">
        <v>-8</v>
      </c>
      <c r="C20" s="93" t="s">
        <v>373</v>
      </c>
      <c r="D20" s="94">
        <v>103286039.34999999</v>
      </c>
      <c r="E20" s="95">
        <f>VLOOKUP(A20,'Balancete 2014'!A:D,4,0)</f>
        <v>93987063.079999998</v>
      </c>
      <c r="I20" s="95" t="e">
        <v>#N/A</v>
      </c>
      <c r="J20" s="99">
        <f t="shared" si="0"/>
        <v>9298976.2699999958</v>
      </c>
    </row>
    <row r="21" spans="1:12">
      <c r="A21" s="92" t="s">
        <v>374</v>
      </c>
      <c r="B21" s="93">
        <v>-9</v>
      </c>
      <c r="C21" s="93" t="s">
        <v>879</v>
      </c>
      <c r="D21" s="94">
        <v>103286039.34999999</v>
      </c>
      <c r="E21" s="95">
        <f>VLOOKUP(A21,'Balancete 2014'!A:D,4,0)</f>
        <v>93987063.079999998</v>
      </c>
      <c r="I21" s="95" t="e">
        <v>#N/A</v>
      </c>
      <c r="J21" s="99">
        <f t="shared" si="0"/>
        <v>9298976.2699999958</v>
      </c>
    </row>
    <row r="22" spans="1:12">
      <c r="A22" s="92" t="s">
        <v>365</v>
      </c>
      <c r="B22" s="93">
        <v>-9</v>
      </c>
      <c r="C22" s="93" t="s">
        <v>366</v>
      </c>
      <c r="D22" s="94">
        <v>1362231400.8299999</v>
      </c>
      <c r="E22" s="95">
        <f>VLOOKUP(A22,'Balancete 2014'!A:D,4,0)</f>
        <v>1354076882.9100001</v>
      </c>
      <c r="I22" s="95">
        <v>907203117.01999998</v>
      </c>
      <c r="J22" s="99">
        <f t="shared" si="0"/>
        <v>8154517.9199998379</v>
      </c>
    </row>
    <row r="23" spans="1:12">
      <c r="A23" s="92" t="s">
        <v>367</v>
      </c>
      <c r="B23" s="93">
        <v>-7</v>
      </c>
      <c r="C23" s="93" t="s">
        <v>368</v>
      </c>
      <c r="D23" s="94">
        <v>1362231400.8299999</v>
      </c>
      <c r="E23" s="95">
        <f>VLOOKUP(A23,'Balancete 2014'!A:D,4,0)</f>
        <v>1354076882.9100001</v>
      </c>
      <c r="I23" s="95">
        <v>907203117.01999998</v>
      </c>
      <c r="J23" s="99">
        <f t="shared" si="0"/>
        <v>8154517.9199998379</v>
      </c>
    </row>
    <row r="24" spans="1:12">
      <c r="A24" s="92" t="s">
        <v>318</v>
      </c>
      <c r="B24" s="93">
        <v>0</v>
      </c>
      <c r="C24" s="93" t="s">
        <v>0</v>
      </c>
      <c r="D24" s="94">
        <v>612939699.64999998</v>
      </c>
      <c r="E24" s="95">
        <f>VLOOKUP(A24,'Balancete 2014'!A:D,4,0)</f>
        <v>293016857.47000003</v>
      </c>
      <c r="I24" s="95">
        <v>285433790.88</v>
      </c>
      <c r="J24" s="99">
        <f t="shared" si="0"/>
        <v>319922842.17999995</v>
      </c>
    </row>
    <row r="25" spans="1:12">
      <c r="A25" s="92" t="s">
        <v>1</v>
      </c>
      <c r="B25" s="93">
        <v>-7</v>
      </c>
      <c r="C25" s="93" t="s">
        <v>2</v>
      </c>
      <c r="D25" s="94">
        <v>612939699.64999998</v>
      </c>
      <c r="E25" s="95">
        <f>VLOOKUP(A25,'Balancete 2014'!A:D,4,0)</f>
        <v>293016857.47000003</v>
      </c>
      <c r="I25" s="95">
        <v>285433790.88</v>
      </c>
      <c r="J25" s="99">
        <f t="shared" si="0"/>
        <v>319922842.17999995</v>
      </c>
    </row>
    <row r="26" spans="1:12">
      <c r="A26" s="92" t="s">
        <v>3</v>
      </c>
      <c r="B26" s="93">
        <v>-5</v>
      </c>
      <c r="C26" s="93" t="s">
        <v>796</v>
      </c>
      <c r="D26" s="94">
        <v>612939699.64999998</v>
      </c>
      <c r="E26" s="95">
        <f>VLOOKUP(A26,'Balancete 2014'!A:D,4,0)</f>
        <v>293016857.47000003</v>
      </c>
      <c r="I26" s="95">
        <v>285433790.88</v>
      </c>
      <c r="J26" s="99">
        <f t="shared" si="0"/>
        <v>319922842.17999995</v>
      </c>
    </row>
    <row r="27" spans="1:12">
      <c r="A27" s="92" t="s">
        <v>377</v>
      </c>
      <c r="B27" s="93">
        <v>-3</v>
      </c>
      <c r="C27" s="93" t="s">
        <v>378</v>
      </c>
      <c r="D27" s="94">
        <v>26092686.260000002</v>
      </c>
      <c r="E27" s="95">
        <f>VLOOKUP(A27,'Balancete 2014'!A:D,4,0)</f>
        <v>313424219.36000001</v>
      </c>
      <c r="I27" s="95" t="e">
        <v>#N/A</v>
      </c>
      <c r="J27" s="99">
        <f t="shared" si="0"/>
        <v>-287331533.10000002</v>
      </c>
    </row>
    <row r="28" spans="1:12">
      <c r="A28" s="92" t="s">
        <v>379</v>
      </c>
      <c r="B28" s="93">
        <v>-6</v>
      </c>
      <c r="C28" s="93" t="s">
        <v>380</v>
      </c>
      <c r="D28" s="94">
        <v>26092686.260000002</v>
      </c>
      <c r="E28" s="95">
        <f>VLOOKUP(A28,'Balancete 2014'!A:D,4,0)</f>
        <v>313424219.36000001</v>
      </c>
      <c r="I28" s="95" t="e">
        <v>#N/A</v>
      </c>
      <c r="J28" s="99">
        <f t="shared" si="0"/>
        <v>-287331533.10000002</v>
      </c>
    </row>
    <row r="29" spans="1:12">
      <c r="A29" s="92" t="s">
        <v>381</v>
      </c>
      <c r="B29" s="93">
        <v>-4</v>
      </c>
      <c r="C29" s="93" t="s">
        <v>880</v>
      </c>
      <c r="D29" s="94">
        <v>26092686.260000002</v>
      </c>
      <c r="E29" s="95">
        <f>VLOOKUP(A29,'Balancete 2014'!A:D,4,0)</f>
        <v>313424219.36000001</v>
      </c>
      <c r="I29" s="95" t="e">
        <v>#N/A</v>
      </c>
      <c r="J29" s="99">
        <f t="shared" si="0"/>
        <v>-287331533.10000002</v>
      </c>
    </row>
    <row r="30" spans="1:12">
      <c r="A30" s="92" t="s">
        <v>317</v>
      </c>
      <c r="B30" s="93">
        <v>-4</v>
      </c>
      <c r="C30" s="93" t="s">
        <v>4</v>
      </c>
      <c r="D30" s="94">
        <v>723199014.91999996</v>
      </c>
      <c r="E30" s="95">
        <f>VLOOKUP(A30,'Balancete 2014'!A:D,4,0)</f>
        <v>747635806.08000004</v>
      </c>
      <c r="I30" s="95">
        <v>621769326.13999999</v>
      </c>
      <c r="J30" s="99">
        <f t="shared" si="0"/>
        <v>-24436791.160000086</v>
      </c>
    </row>
    <row r="31" spans="1:12">
      <c r="A31" s="92" t="s">
        <v>5</v>
      </c>
      <c r="B31" s="93">
        <v>0</v>
      </c>
      <c r="C31" s="93" t="s">
        <v>6</v>
      </c>
      <c r="D31" s="94">
        <v>723199014.91999996</v>
      </c>
      <c r="E31" s="95">
        <f>VLOOKUP(A31,'Balancete 2014'!A:D,4,0)</f>
        <v>747635806.08000004</v>
      </c>
      <c r="I31" s="95">
        <v>588940372.79999995</v>
      </c>
      <c r="J31" s="99">
        <f t="shared" si="0"/>
        <v>-24436791.160000086</v>
      </c>
    </row>
    <row r="32" spans="1:12">
      <c r="A32" s="92" t="s">
        <v>7</v>
      </c>
      <c r="B32" s="93">
        <v>-7</v>
      </c>
      <c r="C32" s="93" t="s">
        <v>881</v>
      </c>
      <c r="D32" s="94">
        <v>723199014.91999996</v>
      </c>
      <c r="E32" s="95">
        <f>VLOOKUP(A32,'Balancete 2014'!A:D,4,0)</f>
        <v>747635806.08000004</v>
      </c>
      <c r="I32" s="95">
        <v>588940372.79999995</v>
      </c>
      <c r="J32" s="99">
        <f t="shared" si="0"/>
        <v>-24436791.160000086</v>
      </c>
    </row>
    <row r="33" spans="1:12">
      <c r="A33" s="92" t="s">
        <v>12</v>
      </c>
      <c r="B33" s="93">
        <v>-5</v>
      </c>
      <c r="C33" s="93" t="s">
        <v>13</v>
      </c>
      <c r="D33" s="94">
        <v>35378480.909999996</v>
      </c>
      <c r="E33" s="95">
        <f>VLOOKUP(A33,'Balancete 2014'!A:D,4,0)</f>
        <v>193368488.88999999</v>
      </c>
      <c r="H33" s="100">
        <f>D33-E33</f>
        <v>-157990007.97999999</v>
      </c>
      <c r="I33" s="95">
        <v>162418801.71000001</v>
      </c>
      <c r="J33" s="99">
        <f t="shared" si="0"/>
        <v>-157990007.97999999</v>
      </c>
    </row>
    <row r="34" spans="1:12">
      <c r="A34" s="92" t="s">
        <v>319</v>
      </c>
      <c r="B34" s="93">
        <v>0</v>
      </c>
      <c r="C34" s="93" t="s">
        <v>14</v>
      </c>
      <c r="D34" s="94">
        <v>31860374.59</v>
      </c>
      <c r="E34" s="95">
        <f>VLOOKUP(A34,'Balancete 2014'!A:D,4,0)</f>
        <v>193288193.13999999</v>
      </c>
      <c r="I34" s="95">
        <v>160864686.08000001</v>
      </c>
      <c r="J34" s="99">
        <f t="shared" si="0"/>
        <v>-161427818.54999998</v>
      </c>
    </row>
    <row r="35" spans="1:12">
      <c r="A35" s="92" t="s">
        <v>15</v>
      </c>
      <c r="B35" s="93">
        <v>-1</v>
      </c>
      <c r="C35" s="93" t="s">
        <v>16</v>
      </c>
      <c r="D35" s="94">
        <v>31860374.59</v>
      </c>
      <c r="E35" s="95">
        <f>VLOOKUP(A35,'Balancete 2014'!A:D,4,0)</f>
        <v>193288193.13999999</v>
      </c>
      <c r="I35" s="95">
        <v>160864686.08000001</v>
      </c>
      <c r="J35" s="99">
        <f t="shared" si="0"/>
        <v>-161427818.54999998</v>
      </c>
    </row>
    <row r="36" spans="1:12">
      <c r="A36" s="92" t="s">
        <v>17</v>
      </c>
      <c r="B36" s="93">
        <v>-3</v>
      </c>
      <c r="C36" s="93" t="s">
        <v>797</v>
      </c>
      <c r="D36" s="94">
        <v>31860374.59</v>
      </c>
      <c r="E36" s="95">
        <f>VLOOKUP(A36,'Balancete 2014'!A:D,4,0)</f>
        <v>193288193.13999999</v>
      </c>
      <c r="I36" s="95">
        <v>160864686.08000001</v>
      </c>
      <c r="J36" s="99">
        <f t="shared" si="0"/>
        <v>-161427818.54999998</v>
      </c>
    </row>
    <row r="37" spans="1:12">
      <c r="A37" s="92" t="s">
        <v>18</v>
      </c>
      <c r="B37" s="93">
        <v>-1</v>
      </c>
      <c r="C37" s="93" t="s">
        <v>798</v>
      </c>
      <c r="D37" s="94">
        <v>31776860.609999999</v>
      </c>
      <c r="E37" s="95">
        <f>VLOOKUP(A37,'Balancete 2014'!A:D,4,0)</f>
        <v>59850844.119999997</v>
      </c>
      <c r="I37" s="95">
        <v>32596312.260000002</v>
      </c>
      <c r="J37" s="99">
        <f t="shared" si="0"/>
        <v>-28073983.509999998</v>
      </c>
    </row>
    <row r="38" spans="1:12">
      <c r="A38" s="92" t="s">
        <v>19</v>
      </c>
      <c r="B38" s="93">
        <v>0</v>
      </c>
      <c r="C38" s="93" t="s">
        <v>799</v>
      </c>
      <c r="D38" s="94">
        <v>83513.98</v>
      </c>
      <c r="E38" s="95">
        <f>VLOOKUP(A38,'Balancete 2014'!A:D,4,0)</f>
        <v>133437349.02</v>
      </c>
      <c r="I38" s="95">
        <v>128268373.81999999</v>
      </c>
      <c r="J38" s="99">
        <f t="shared" si="0"/>
        <v>-133353835.03999999</v>
      </c>
    </row>
    <row r="39" spans="1:12">
      <c r="A39" s="92" t="s">
        <v>320</v>
      </c>
      <c r="B39" s="93">
        <v>0</v>
      </c>
      <c r="C39" s="93" t="s">
        <v>20</v>
      </c>
      <c r="D39" s="94">
        <v>3518106.32</v>
      </c>
      <c r="E39" s="95">
        <f>VLOOKUP(A39,'Balancete 2014'!A:D,4,0)</f>
        <v>80295.75</v>
      </c>
      <c r="I39" s="95">
        <v>1554115.63</v>
      </c>
      <c r="J39" s="99">
        <f t="shared" si="0"/>
        <v>3437810.57</v>
      </c>
      <c r="K39" s="100">
        <f>+D39-E39</f>
        <v>3437810.57</v>
      </c>
      <c r="L39" s="95">
        <f>+K39/1000</f>
        <v>3437.8105699999996</v>
      </c>
    </row>
    <row r="40" spans="1:12">
      <c r="A40" s="92" t="s">
        <v>21</v>
      </c>
      <c r="B40" s="93">
        <v>0</v>
      </c>
      <c r="C40" s="93" t="s">
        <v>22</v>
      </c>
      <c r="D40" s="94">
        <v>55410.84</v>
      </c>
      <c r="E40" s="95">
        <f>VLOOKUP(A40,'Balancete 2014'!A:D,4,0)</f>
        <v>38130.57</v>
      </c>
      <c r="I40" s="95">
        <v>28358.59</v>
      </c>
      <c r="J40" s="99">
        <f t="shared" si="0"/>
        <v>17280.269999999997</v>
      </c>
    </row>
    <row r="41" spans="1:12">
      <c r="A41" s="92" t="s">
        <v>23</v>
      </c>
      <c r="B41" s="93">
        <v>-4</v>
      </c>
      <c r="C41" s="93" t="s">
        <v>969</v>
      </c>
      <c r="D41" s="94">
        <v>55410.84</v>
      </c>
      <c r="E41" s="95">
        <f>VLOOKUP(A41,'Balancete 2014'!A:D,4,0)</f>
        <v>38130.57</v>
      </c>
      <c r="I41" s="95">
        <v>28358.59</v>
      </c>
      <c r="J41" s="99">
        <f t="shared" si="0"/>
        <v>17280.269999999997</v>
      </c>
    </row>
    <row r="42" spans="1:12">
      <c r="A42" s="92" t="s">
        <v>24</v>
      </c>
      <c r="B42" s="93">
        <v>-2</v>
      </c>
      <c r="C42" s="93" t="s">
        <v>800</v>
      </c>
      <c r="D42" s="94">
        <v>40743.26</v>
      </c>
      <c r="E42" s="95">
        <f>VLOOKUP(A42,'Balancete 2014'!A:D,4,0)</f>
        <v>28037.18</v>
      </c>
      <c r="I42" s="95">
        <v>20851.900000000001</v>
      </c>
      <c r="J42" s="99">
        <f t="shared" si="0"/>
        <v>12706.080000000002</v>
      </c>
    </row>
    <row r="43" spans="1:12">
      <c r="A43" s="92" t="s">
        <v>25</v>
      </c>
      <c r="B43" s="93">
        <v>0</v>
      </c>
      <c r="C43" s="93" t="s">
        <v>801</v>
      </c>
      <c r="D43" s="94">
        <v>14667.58</v>
      </c>
      <c r="E43" s="95">
        <f>VLOOKUP(A43,'Balancete 2014'!A:D,4,0)</f>
        <v>10093.39</v>
      </c>
      <c r="I43" s="95">
        <v>7506.69</v>
      </c>
      <c r="J43" s="99">
        <f t="shared" si="0"/>
        <v>4574.1900000000005</v>
      </c>
    </row>
    <row r="44" spans="1:12">
      <c r="A44" s="92" t="s">
        <v>26</v>
      </c>
      <c r="B44" s="93">
        <v>-8</v>
      </c>
      <c r="C44" s="93" t="s">
        <v>27</v>
      </c>
      <c r="D44" s="94">
        <v>53544.480000000003</v>
      </c>
      <c r="E44" s="95" t="e">
        <f>VLOOKUP(A44,'Balancete 2014'!A:D,4,0)</f>
        <v>#N/A</v>
      </c>
      <c r="I44" s="95">
        <v>1454836.59</v>
      </c>
      <c r="J44" s="99" t="e">
        <f t="shared" si="0"/>
        <v>#N/A</v>
      </c>
    </row>
    <row r="45" spans="1:12">
      <c r="A45" s="92" t="s">
        <v>676</v>
      </c>
      <c r="B45" s="93">
        <v>-5</v>
      </c>
      <c r="C45" s="93" t="s">
        <v>742</v>
      </c>
      <c r="D45" s="94">
        <v>53544.480000000003</v>
      </c>
      <c r="E45" s="95" t="e">
        <f>VLOOKUP(A45,'Balancete 2014'!A:D,4,0)</f>
        <v>#N/A</v>
      </c>
      <c r="I45" s="95">
        <v>1454836.59</v>
      </c>
      <c r="J45" s="99" t="e">
        <f t="shared" si="0"/>
        <v>#N/A</v>
      </c>
    </row>
    <row r="46" spans="1:12">
      <c r="A46" s="92" t="s">
        <v>677</v>
      </c>
      <c r="B46" s="93">
        <v>-3</v>
      </c>
      <c r="C46" s="93" t="s">
        <v>882</v>
      </c>
      <c r="D46" s="94">
        <v>53544.480000000003</v>
      </c>
      <c r="E46" s="95" t="e">
        <f>VLOOKUP(A46,'Balancete 2014'!A:D,4,0)</f>
        <v>#N/A</v>
      </c>
      <c r="I46" s="95">
        <v>1454836.59</v>
      </c>
      <c r="J46" s="99" t="e">
        <f t="shared" si="0"/>
        <v>#N/A</v>
      </c>
    </row>
    <row r="47" spans="1:12">
      <c r="A47" s="92" t="s">
        <v>883</v>
      </c>
      <c r="B47" s="93">
        <v>-2</v>
      </c>
      <c r="C47" s="93" t="s">
        <v>884</v>
      </c>
      <c r="D47" s="94">
        <v>3401410.97</v>
      </c>
      <c r="E47" s="95" t="e">
        <f>VLOOKUP(A47,'Balancete 2014'!A:D,4,0)</f>
        <v>#N/A</v>
      </c>
      <c r="I47" s="95" t="e">
        <v>#N/A</v>
      </c>
      <c r="J47" s="99" t="e">
        <f t="shared" si="0"/>
        <v>#N/A</v>
      </c>
    </row>
    <row r="48" spans="1:12">
      <c r="A48" s="92" t="s">
        <v>885</v>
      </c>
      <c r="B48" s="93">
        <v>-8</v>
      </c>
      <c r="C48" s="93" t="s">
        <v>886</v>
      </c>
      <c r="D48" s="94">
        <v>3401410.97</v>
      </c>
      <c r="E48" s="95" t="e">
        <f>VLOOKUP(A48,'Balancete 2014'!A:D,4,0)</f>
        <v>#N/A</v>
      </c>
      <c r="I48" s="95" t="e">
        <v>#N/A</v>
      </c>
      <c r="J48" s="99" t="e">
        <f t="shared" si="0"/>
        <v>#N/A</v>
      </c>
    </row>
    <row r="49" spans="1:10">
      <c r="A49" s="92" t="s">
        <v>887</v>
      </c>
      <c r="B49" s="93">
        <v>-2</v>
      </c>
      <c r="C49" s="93" t="s">
        <v>888</v>
      </c>
      <c r="D49" s="94">
        <v>3401410.97</v>
      </c>
      <c r="E49" s="95" t="e">
        <f>VLOOKUP(A49,'Balancete 2014'!A:D,4,0)</f>
        <v>#N/A</v>
      </c>
      <c r="I49" s="95" t="e">
        <v>#N/A</v>
      </c>
      <c r="J49" s="99" t="e">
        <f t="shared" si="0"/>
        <v>#N/A</v>
      </c>
    </row>
    <row r="50" spans="1:10">
      <c r="A50" s="92" t="s">
        <v>302</v>
      </c>
      <c r="B50" s="93">
        <v>-2</v>
      </c>
      <c r="C50" s="93" t="s">
        <v>303</v>
      </c>
      <c r="D50" s="94">
        <v>7740.03</v>
      </c>
      <c r="E50" s="95">
        <f>VLOOKUP(A50,'Balancete 2014'!A:D,4,0)</f>
        <v>42165.18</v>
      </c>
      <c r="I50" s="95">
        <v>70920.45</v>
      </c>
      <c r="J50" s="99">
        <f t="shared" si="0"/>
        <v>-34425.15</v>
      </c>
    </row>
    <row r="51" spans="1:10">
      <c r="A51" s="92" t="s">
        <v>304</v>
      </c>
      <c r="B51" s="93">
        <v>-7</v>
      </c>
      <c r="C51" s="93" t="s">
        <v>303</v>
      </c>
      <c r="D51" s="94">
        <v>7740.03</v>
      </c>
      <c r="E51" s="95">
        <f>VLOOKUP(A51,'Balancete 2014'!A:D,4,0)</f>
        <v>42165.18</v>
      </c>
      <c r="I51" s="95">
        <v>70920.45</v>
      </c>
      <c r="J51" s="99">
        <f t="shared" si="0"/>
        <v>-34425.15</v>
      </c>
    </row>
    <row r="52" spans="1:10">
      <c r="A52" s="92" t="s">
        <v>305</v>
      </c>
      <c r="B52" s="93">
        <v>-4</v>
      </c>
      <c r="C52" s="93" t="s">
        <v>889</v>
      </c>
      <c r="D52" s="94">
        <v>7740.03</v>
      </c>
      <c r="E52" s="95">
        <f>VLOOKUP(A52,'Balancete 2014'!A:D,4,0)</f>
        <v>42165.18</v>
      </c>
      <c r="I52" s="95">
        <v>70920.45</v>
      </c>
      <c r="J52" s="99">
        <f t="shared" si="0"/>
        <v>-34425.15</v>
      </c>
    </row>
    <row r="53" spans="1:10">
      <c r="A53" s="92">
        <v>2</v>
      </c>
      <c r="B53" s="93">
        <v>-3</v>
      </c>
      <c r="C53" s="93" t="s">
        <v>245</v>
      </c>
      <c r="D53" s="94">
        <v>2138207148.71</v>
      </c>
      <c r="E53" s="95">
        <f>VLOOKUP(A53,'Balancete 2014'!A:D,4,0)</f>
        <v>4542095578.6999998</v>
      </c>
      <c r="I53" s="95">
        <v>3536067198.8800001</v>
      </c>
      <c r="J53" s="99">
        <f t="shared" si="0"/>
        <v>-2403888429.9899998</v>
      </c>
    </row>
    <row r="54" spans="1:10">
      <c r="A54" s="92" t="s">
        <v>321</v>
      </c>
      <c r="B54" s="93">
        <v>0</v>
      </c>
      <c r="C54" s="93" t="s">
        <v>28</v>
      </c>
      <c r="D54" s="94">
        <v>2138207148.71</v>
      </c>
      <c r="E54" s="95">
        <f>VLOOKUP(A54,'Balancete 2014'!A:D,4,0)</f>
        <v>4542095503.6999998</v>
      </c>
      <c r="I54" s="95">
        <v>3536066823.8800001</v>
      </c>
      <c r="J54" s="99">
        <f t="shared" si="0"/>
        <v>-2403888354.9899998</v>
      </c>
    </row>
    <row r="55" spans="1:10">
      <c r="A55" s="92" t="s">
        <v>29</v>
      </c>
      <c r="B55" s="93">
        <v>-7</v>
      </c>
      <c r="C55" s="93" t="s">
        <v>30</v>
      </c>
      <c r="D55" s="94">
        <v>2138207148.71</v>
      </c>
      <c r="E55" s="95">
        <f>VLOOKUP(A55,'Balancete 2014'!A:D,4,0)</f>
        <v>4542095503.6999998</v>
      </c>
      <c r="I55" s="95">
        <v>3536066823.8800001</v>
      </c>
      <c r="J55" s="99">
        <f t="shared" si="0"/>
        <v>-2403888354.9899998</v>
      </c>
    </row>
    <row r="56" spans="1:10">
      <c r="A56" s="92" t="s">
        <v>31</v>
      </c>
      <c r="B56" s="93">
        <v>0</v>
      </c>
      <c r="C56" s="93" t="s">
        <v>32</v>
      </c>
      <c r="D56" s="94">
        <v>2138207148.71</v>
      </c>
      <c r="E56" s="95">
        <f>VLOOKUP(A56,'Balancete 2014'!A:D,4,0)</f>
        <v>4542095503.6999998</v>
      </c>
      <c r="I56" s="95">
        <v>3536066823.8800001</v>
      </c>
      <c r="J56" s="99">
        <f t="shared" si="0"/>
        <v>-2403888354.9899998</v>
      </c>
    </row>
    <row r="57" spans="1:10">
      <c r="A57" s="92" t="s">
        <v>268</v>
      </c>
      <c r="B57" s="93">
        <v>-2</v>
      </c>
      <c r="C57" s="93" t="s">
        <v>399</v>
      </c>
      <c r="D57" s="94">
        <v>1528663343.77</v>
      </c>
      <c r="E57" s="95">
        <f>VLOOKUP(A57,'Balancete 2014'!A:D,4,0)</f>
        <v>1469201224.8</v>
      </c>
      <c r="I57" s="95">
        <v>828499930</v>
      </c>
      <c r="J57" s="99">
        <f t="shared" si="0"/>
        <v>59462118.970000029</v>
      </c>
    </row>
    <row r="58" spans="1:10">
      <c r="A58" s="92" t="s">
        <v>269</v>
      </c>
      <c r="B58" s="93">
        <v>0</v>
      </c>
      <c r="C58" s="93" t="s">
        <v>590</v>
      </c>
      <c r="D58" s="94">
        <v>1529615982.96</v>
      </c>
      <c r="E58" s="95">
        <f>VLOOKUP(A58,'Balancete 2014'!A:D,4,0)</f>
        <v>1470153863.99</v>
      </c>
      <c r="I58" s="95">
        <v>828499930</v>
      </c>
      <c r="J58" s="99">
        <f t="shared" si="0"/>
        <v>59462118.970000029</v>
      </c>
    </row>
    <row r="59" spans="1:10">
      <c r="A59" s="92" t="s">
        <v>654</v>
      </c>
      <c r="B59" s="93">
        <v>-9</v>
      </c>
      <c r="C59" s="93" t="s">
        <v>655</v>
      </c>
      <c r="D59" s="94">
        <v>-952639.19</v>
      </c>
      <c r="E59" s="95">
        <f>VLOOKUP(A59,'Balancete 2014'!A:D,4,0)</f>
        <v>-952639.19</v>
      </c>
      <c r="I59" s="95" t="e">
        <v>#N/A</v>
      </c>
      <c r="J59" s="99">
        <f t="shared" si="0"/>
        <v>0</v>
      </c>
    </row>
    <row r="60" spans="1:10">
      <c r="A60" s="92" t="s">
        <v>270</v>
      </c>
      <c r="B60" s="93">
        <v>-9</v>
      </c>
      <c r="C60" s="93" t="s">
        <v>400</v>
      </c>
      <c r="D60" s="94">
        <v>176358000</v>
      </c>
      <c r="E60" s="95">
        <f>VLOOKUP(A60,'Balancete 2014'!A:D,4,0)</f>
        <v>176358000</v>
      </c>
      <c r="I60" s="95">
        <v>176358000</v>
      </c>
      <c r="J60" s="99">
        <f t="shared" si="0"/>
        <v>0</v>
      </c>
    </row>
    <row r="61" spans="1:10">
      <c r="A61" s="92" t="s">
        <v>271</v>
      </c>
      <c r="B61" s="93">
        <v>-7</v>
      </c>
      <c r="C61" s="93" t="s">
        <v>401</v>
      </c>
      <c r="D61" s="94">
        <v>176358000</v>
      </c>
      <c r="E61" s="95">
        <f>VLOOKUP(A61,'Balancete 2014'!A:D,4,0)</f>
        <v>176358000</v>
      </c>
      <c r="I61" s="95">
        <v>176358000</v>
      </c>
      <c r="J61" s="99">
        <f t="shared" si="0"/>
        <v>0</v>
      </c>
    </row>
    <row r="62" spans="1:10">
      <c r="A62" s="92" t="s">
        <v>272</v>
      </c>
      <c r="B62" s="93">
        <v>-1</v>
      </c>
      <c r="C62" s="93" t="s">
        <v>402</v>
      </c>
      <c r="D62" s="94">
        <v>32965137.940000001</v>
      </c>
      <c r="E62" s="95">
        <f>VLOOKUP(A62,'Balancete 2014'!A:D,4,0)</f>
        <v>35837622.100000001</v>
      </c>
      <c r="I62" s="95">
        <v>38927396.259999998</v>
      </c>
      <c r="J62" s="99">
        <f t="shared" si="0"/>
        <v>-2872484.16</v>
      </c>
    </row>
    <row r="63" spans="1:10">
      <c r="A63" s="92" t="s">
        <v>273</v>
      </c>
      <c r="B63" s="93">
        <v>0</v>
      </c>
      <c r="C63" s="93" t="s">
        <v>403</v>
      </c>
      <c r="D63" s="94">
        <v>162276000</v>
      </c>
      <c r="E63" s="95">
        <f>VLOOKUP(A63,'Balancete 2014'!A:D,4,0)</f>
        <v>162276000</v>
      </c>
      <c r="I63" s="95">
        <v>162276000</v>
      </c>
      <c r="J63" s="99">
        <f t="shared" si="0"/>
        <v>0</v>
      </c>
    </row>
    <row r="64" spans="1:10">
      <c r="A64" s="92" t="s">
        <v>274</v>
      </c>
      <c r="B64" s="93">
        <v>-8</v>
      </c>
      <c r="C64" s="93" t="s">
        <v>404</v>
      </c>
      <c r="D64" s="94">
        <v>-129310862.06</v>
      </c>
      <c r="E64" s="95">
        <f>VLOOKUP(A64,'Balancete 2014'!A:D,4,0)</f>
        <v>-126438377.90000001</v>
      </c>
      <c r="I64" s="95">
        <v>-123348603.73999999</v>
      </c>
      <c r="J64" s="99">
        <f t="shared" si="0"/>
        <v>-2872484.1599999964</v>
      </c>
    </row>
    <row r="65" spans="1:10">
      <c r="A65" s="92" t="s">
        <v>275</v>
      </c>
      <c r="B65" s="93">
        <v>-8</v>
      </c>
      <c r="C65" s="93" t="s">
        <v>276</v>
      </c>
      <c r="D65" s="94">
        <v>132998508.81999999</v>
      </c>
      <c r="E65" s="95">
        <f>VLOOKUP(A65,'Balancete 2014'!A:D,4,0)</f>
        <v>2638564418.52</v>
      </c>
      <c r="H65" s="101"/>
      <c r="I65" s="95">
        <v>2251138247.6199999</v>
      </c>
      <c r="J65" s="99">
        <f t="shared" si="0"/>
        <v>-2505565909.6999998</v>
      </c>
    </row>
    <row r="66" spans="1:10">
      <c r="A66" s="92" t="s">
        <v>278</v>
      </c>
      <c r="B66" s="93">
        <v>-4</v>
      </c>
      <c r="C66" s="93" t="s">
        <v>405</v>
      </c>
      <c r="D66" s="94">
        <v>18541523.02</v>
      </c>
      <c r="E66" s="95">
        <f>VLOOKUP(A66,'Balancete 2014'!A:D,4,0)</f>
        <v>14930652.029999999</v>
      </c>
      <c r="H66" s="94"/>
      <c r="I66" s="95">
        <v>13318390.84</v>
      </c>
      <c r="J66" s="99">
        <f t="shared" si="0"/>
        <v>3610870.99</v>
      </c>
    </row>
    <row r="67" spans="1:10">
      <c r="A67" s="92" t="s">
        <v>279</v>
      </c>
      <c r="B67" s="93">
        <v>-2</v>
      </c>
      <c r="C67" s="93" t="s">
        <v>406</v>
      </c>
      <c r="D67" s="94">
        <v>6955910.9500000002</v>
      </c>
      <c r="E67" s="95">
        <f>VLOOKUP(A67,'Balancete 2014'!A:D,4,0)</f>
        <v>6880514.5099999998</v>
      </c>
      <c r="H67" s="101"/>
      <c r="I67" s="95">
        <v>6832155.2699999996</v>
      </c>
      <c r="J67" s="99">
        <f t="shared" si="0"/>
        <v>75396.44000000041</v>
      </c>
    </row>
    <row r="68" spans="1:10">
      <c r="A68" s="92" t="s">
        <v>407</v>
      </c>
      <c r="B68" s="93">
        <v>0</v>
      </c>
      <c r="C68" s="93" t="s">
        <v>408</v>
      </c>
      <c r="D68" s="94">
        <v>38292277.310000002</v>
      </c>
      <c r="E68" s="95">
        <f>VLOOKUP(A68,'Balancete 2014'!A:D,4,0)</f>
        <v>37063734.409999996</v>
      </c>
      <c r="I68" s="95" t="e">
        <v>#N/A</v>
      </c>
      <c r="J68" s="99">
        <f t="shared" si="0"/>
        <v>1228542.900000006</v>
      </c>
    </row>
    <row r="69" spans="1:10">
      <c r="A69" s="92" t="s">
        <v>280</v>
      </c>
      <c r="B69" s="93">
        <v>0</v>
      </c>
      <c r="C69" s="93" t="s">
        <v>409</v>
      </c>
      <c r="D69" s="94">
        <v>1840749.35</v>
      </c>
      <c r="E69" s="95">
        <f>VLOOKUP(A69,'Balancete 2014'!A:D,4,0)</f>
        <v>1840770.2</v>
      </c>
      <c r="I69" s="95">
        <v>1896916.47</v>
      </c>
      <c r="J69" s="99">
        <f t="shared" si="0"/>
        <v>-20.849999999860302</v>
      </c>
    </row>
    <row r="70" spans="1:10">
      <c r="A70" s="92" t="s">
        <v>281</v>
      </c>
      <c r="B70" s="93">
        <v>-9</v>
      </c>
      <c r="C70" s="93" t="s">
        <v>410</v>
      </c>
      <c r="D70" s="94">
        <v>2.5</v>
      </c>
      <c r="E70" s="95">
        <f>VLOOKUP(A70,'Balancete 2014'!A:D,4,0)</f>
        <v>2.5</v>
      </c>
      <c r="I70" s="95">
        <v>2.5</v>
      </c>
      <c r="J70" s="99">
        <f t="shared" si="0"/>
        <v>0</v>
      </c>
    </row>
    <row r="71" spans="1:10">
      <c r="A71" s="92" t="s">
        <v>282</v>
      </c>
      <c r="B71" s="93">
        <v>-7</v>
      </c>
      <c r="C71" s="93" t="s">
        <v>411</v>
      </c>
      <c r="D71" s="94">
        <v>32427856.469999999</v>
      </c>
      <c r="E71" s="95">
        <f>VLOOKUP(A71,'Balancete 2014'!A:D,4,0)</f>
        <v>32708898.859999999</v>
      </c>
      <c r="I71" s="95">
        <v>38962644.07</v>
      </c>
      <c r="J71" s="99">
        <f t="shared" si="0"/>
        <v>-281042.3900000006</v>
      </c>
    </row>
    <row r="72" spans="1:10">
      <c r="A72" s="92" t="s">
        <v>284</v>
      </c>
      <c r="B72" s="93">
        <v>-1</v>
      </c>
      <c r="C72" s="93" t="s">
        <v>413</v>
      </c>
      <c r="D72" s="94">
        <v>30392935.879999999</v>
      </c>
      <c r="E72" s="95">
        <f>VLOOKUP(A72,'Balancete 2014'!A:D,4,0)</f>
        <v>61471779.280000001</v>
      </c>
      <c r="I72" s="95">
        <v>64118119.740000002</v>
      </c>
      <c r="J72" s="99">
        <f t="shared" si="0"/>
        <v>-31078843.400000002</v>
      </c>
    </row>
    <row r="73" spans="1:10">
      <c r="A73" s="92" t="s">
        <v>414</v>
      </c>
      <c r="B73" s="93">
        <v>0</v>
      </c>
      <c r="C73" s="93" t="s">
        <v>623</v>
      </c>
      <c r="D73" s="94">
        <v>1010953.34</v>
      </c>
      <c r="E73" s="95">
        <f>VLOOKUP(A73,'Balancete 2014'!A:D,4,0)</f>
        <v>1010953.34</v>
      </c>
      <c r="I73" s="95" t="e">
        <v>#N/A</v>
      </c>
      <c r="J73" s="99">
        <f t="shared" si="0"/>
        <v>0</v>
      </c>
    </row>
    <row r="74" spans="1:10">
      <c r="A74" s="92" t="s">
        <v>691</v>
      </c>
      <c r="B74" s="93">
        <v>0</v>
      </c>
      <c r="C74" s="93" t="s">
        <v>890</v>
      </c>
      <c r="D74" s="94">
        <v>3536300</v>
      </c>
      <c r="E74" s="95" t="e">
        <f>VLOOKUP(A74,'Balancete 2014'!A:D,4,0)</f>
        <v>#N/A</v>
      </c>
      <c r="I74" s="95" t="e">
        <v>#N/A</v>
      </c>
      <c r="J74" s="99" t="e">
        <f t="shared" si="0"/>
        <v>#N/A</v>
      </c>
    </row>
    <row r="75" spans="1:10">
      <c r="A75" s="92" t="s">
        <v>285</v>
      </c>
      <c r="B75" s="93">
        <v>-4</v>
      </c>
      <c r="C75" s="93" t="s">
        <v>416</v>
      </c>
      <c r="D75" s="94">
        <v>79281286</v>
      </c>
      <c r="E75" s="95">
        <f>VLOOKUP(A75,'Balancete 2014'!A:D,4,0)</f>
        <v>79314858.280000001</v>
      </c>
      <c r="I75" s="95">
        <v>79281286</v>
      </c>
      <c r="J75" s="99">
        <f t="shared" si="0"/>
        <v>-33572.280000001192</v>
      </c>
    </row>
    <row r="76" spans="1:10">
      <c r="A76" s="92" t="s">
        <v>286</v>
      </c>
      <c r="B76" s="93">
        <v>-2</v>
      </c>
      <c r="C76" s="93" t="s">
        <v>417</v>
      </c>
      <c r="D76" s="94">
        <v>79281286</v>
      </c>
      <c r="E76" s="95">
        <f>VLOOKUP(A76,'Balancete 2014'!A:D,4,0)</f>
        <v>79281286</v>
      </c>
      <c r="I76" s="95">
        <v>79281286</v>
      </c>
      <c r="J76" s="99">
        <f t="shared" si="0"/>
        <v>0</v>
      </c>
    </row>
    <row r="77" spans="1:10">
      <c r="A77" s="92" t="s">
        <v>287</v>
      </c>
      <c r="B77" s="93">
        <v>-7</v>
      </c>
      <c r="C77" s="93" t="s">
        <v>891</v>
      </c>
      <c r="D77" s="94">
        <v>123776796</v>
      </c>
      <c r="E77" s="95">
        <f>VLOOKUP(A77,'Balancete 2014'!A:D,4,0)</f>
        <v>142819380</v>
      </c>
      <c r="I77" s="95">
        <v>161861964</v>
      </c>
      <c r="J77" s="99">
        <f t="shared" si="0"/>
        <v>-19042584</v>
      </c>
    </row>
    <row r="78" spans="1:10">
      <c r="A78" s="92" t="s">
        <v>288</v>
      </c>
      <c r="B78" s="93">
        <v>-5</v>
      </c>
      <c r="C78" s="93" t="s">
        <v>419</v>
      </c>
      <c r="D78" s="94">
        <v>190425840</v>
      </c>
      <c r="E78" s="95">
        <f>VLOOKUP(A78,'Balancete 2014'!A:D,4,0)</f>
        <v>190425840</v>
      </c>
      <c r="I78" s="95">
        <v>190425840</v>
      </c>
      <c r="J78" s="99">
        <f t="shared" si="0"/>
        <v>0</v>
      </c>
    </row>
    <row r="79" spans="1:10">
      <c r="A79" s="92" t="s">
        <v>289</v>
      </c>
      <c r="B79" s="93">
        <v>-3</v>
      </c>
      <c r="C79" s="93" t="s">
        <v>420</v>
      </c>
      <c r="D79" s="94">
        <v>-66649044</v>
      </c>
      <c r="E79" s="95">
        <f>VLOOKUP(A79,'Balancete 2014'!A:D,4,0)</f>
        <v>-47606460</v>
      </c>
      <c r="I79" s="95">
        <v>-28563876</v>
      </c>
      <c r="J79" s="99">
        <f t="shared" si="0"/>
        <v>-19042584</v>
      </c>
    </row>
    <row r="80" spans="1:10">
      <c r="A80" s="92" t="s">
        <v>750</v>
      </c>
      <c r="B80" s="93">
        <v>0</v>
      </c>
      <c r="C80" s="93" t="s">
        <v>892</v>
      </c>
      <c r="D80" s="94">
        <v>64164076.18</v>
      </c>
      <c r="E80" s="95" t="e">
        <f>VLOOKUP(A80,'Balancete 2014'!A:D,4,0)</f>
        <v>#N/A</v>
      </c>
      <c r="I80" s="95" t="e">
        <v>#N/A</v>
      </c>
      <c r="J80" s="99" t="e">
        <f t="shared" si="0"/>
        <v>#N/A</v>
      </c>
    </row>
    <row r="81" spans="1:10">
      <c r="A81" s="92" t="s">
        <v>752</v>
      </c>
      <c r="B81" s="93">
        <v>-8</v>
      </c>
      <c r="C81" s="93" t="s">
        <v>694</v>
      </c>
      <c r="D81" s="94">
        <v>66011000</v>
      </c>
      <c r="E81" s="95" t="e">
        <f>VLOOKUP(A81,'Balancete 2014'!A:D,4,0)</f>
        <v>#N/A</v>
      </c>
      <c r="I81" s="95" t="e">
        <v>#N/A</v>
      </c>
      <c r="J81" s="99" t="e">
        <f t="shared" si="0"/>
        <v>#N/A</v>
      </c>
    </row>
    <row r="82" spans="1:10">
      <c r="A82" s="92" t="s">
        <v>754</v>
      </c>
      <c r="B82" s="93">
        <v>-6</v>
      </c>
      <c r="C82" s="93" t="s">
        <v>747</v>
      </c>
      <c r="D82" s="94">
        <v>-1846923.82</v>
      </c>
      <c r="E82" s="95" t="e">
        <f>VLOOKUP(A82,'Balancete 2014'!A:D,4,0)</f>
        <v>#N/A</v>
      </c>
      <c r="I82" s="95" t="e">
        <v>#N/A</v>
      </c>
      <c r="J82" s="99" t="e">
        <f t="shared" si="0"/>
        <v>#N/A</v>
      </c>
    </row>
    <row r="83" spans="1:10">
      <c r="A83" s="92" t="s">
        <v>322</v>
      </c>
      <c r="B83" s="93">
        <v>-8</v>
      </c>
      <c r="C83" s="93" t="s">
        <v>33</v>
      </c>
      <c r="D83" s="94">
        <v>0</v>
      </c>
      <c r="E83" s="95">
        <f>VLOOKUP(A83,'Balancete 2014'!A:D,4,0)</f>
        <v>75</v>
      </c>
      <c r="I83" s="95">
        <v>375</v>
      </c>
      <c r="J83" s="99">
        <f t="shared" ref="J83:J146" si="1">+D83-E83</f>
        <v>-75</v>
      </c>
    </row>
    <row r="84" spans="1:10">
      <c r="A84" s="92" t="s">
        <v>34</v>
      </c>
      <c r="B84" s="93">
        <v>0</v>
      </c>
      <c r="C84" s="93" t="s">
        <v>35</v>
      </c>
      <c r="D84" s="94">
        <v>0</v>
      </c>
      <c r="E84" s="95">
        <f>VLOOKUP(A84,'Balancete 2014'!A:D,4,0)</f>
        <v>75</v>
      </c>
      <c r="I84" s="95">
        <v>-1125</v>
      </c>
      <c r="J84" s="99">
        <f t="shared" si="1"/>
        <v>-75</v>
      </c>
    </row>
    <row r="85" spans="1:10">
      <c r="A85" s="92" t="s">
        <v>421</v>
      </c>
      <c r="B85" s="93">
        <v>-8</v>
      </c>
      <c r="C85" s="93" t="s">
        <v>422</v>
      </c>
      <c r="D85" s="94">
        <v>1500</v>
      </c>
      <c r="E85" s="95">
        <f>VLOOKUP(A85,'Balancete 2014'!A:D,4,0)</f>
        <v>1500</v>
      </c>
      <c r="I85" s="95" t="e">
        <v>#N/A</v>
      </c>
      <c r="J85" s="99">
        <f t="shared" si="1"/>
        <v>0</v>
      </c>
    </row>
    <row r="86" spans="1:10">
      <c r="A86" s="92" t="s">
        <v>423</v>
      </c>
      <c r="B86" s="93">
        <v>0</v>
      </c>
      <c r="C86" s="93" t="s">
        <v>424</v>
      </c>
      <c r="D86" s="94">
        <v>1500</v>
      </c>
      <c r="E86" s="95">
        <f>VLOOKUP(A86,'Balancete 2014'!A:D,4,0)</f>
        <v>1500</v>
      </c>
      <c r="I86" s="95" t="e">
        <v>#N/A</v>
      </c>
      <c r="J86" s="99">
        <f t="shared" si="1"/>
        <v>0</v>
      </c>
    </row>
    <row r="87" spans="1:10">
      <c r="A87" s="92" t="s">
        <v>425</v>
      </c>
      <c r="B87" s="93">
        <v>-9</v>
      </c>
      <c r="C87" s="93" t="s">
        <v>893</v>
      </c>
      <c r="D87" s="94">
        <v>1500</v>
      </c>
      <c r="E87" s="95">
        <f>VLOOKUP(A87,'Balancete 2014'!A:D,4,0)</f>
        <v>1500</v>
      </c>
      <c r="I87" s="95" t="e">
        <v>#N/A</v>
      </c>
      <c r="J87" s="99">
        <f t="shared" si="1"/>
        <v>0</v>
      </c>
    </row>
    <row r="88" spans="1:10">
      <c r="A88" s="92" t="s">
        <v>36</v>
      </c>
      <c r="B88" s="93">
        <v>-4</v>
      </c>
      <c r="C88" s="93" t="s">
        <v>37</v>
      </c>
      <c r="D88" s="94">
        <v>-1500</v>
      </c>
      <c r="E88" s="95">
        <f>VLOOKUP(A88,'Balancete 2014'!A:D,4,0)</f>
        <v>-1425</v>
      </c>
      <c r="I88" s="95">
        <v>-1125</v>
      </c>
      <c r="J88" s="99">
        <f t="shared" si="1"/>
        <v>-75</v>
      </c>
    </row>
    <row r="89" spans="1:10">
      <c r="A89" s="92" t="s">
        <v>38</v>
      </c>
      <c r="B89" s="93">
        <v>0</v>
      </c>
      <c r="C89" s="93" t="s">
        <v>426</v>
      </c>
      <c r="D89" s="94">
        <v>-1500</v>
      </c>
      <c r="E89" s="95">
        <f>VLOOKUP(A89,'Balancete 2014'!A:D,4,0)</f>
        <v>-1425</v>
      </c>
      <c r="I89" s="95">
        <v>-1125</v>
      </c>
      <c r="J89" s="99">
        <f t="shared" si="1"/>
        <v>-75</v>
      </c>
    </row>
    <row r="90" spans="1:10">
      <c r="A90" s="92" t="s">
        <v>39</v>
      </c>
      <c r="B90" s="93">
        <v>-4</v>
      </c>
      <c r="C90" s="93" t="s">
        <v>894</v>
      </c>
      <c r="D90" s="94">
        <v>-1500</v>
      </c>
      <c r="E90" s="95">
        <f>VLOOKUP(A90,'Balancete 2014'!A:D,4,0)</f>
        <v>-1425</v>
      </c>
      <c r="I90" s="95">
        <v>-1125</v>
      </c>
      <c r="J90" s="99">
        <f t="shared" si="1"/>
        <v>-75</v>
      </c>
    </row>
    <row r="91" spans="1:10">
      <c r="A91" s="92">
        <v>3</v>
      </c>
      <c r="B91" s="93">
        <v>0</v>
      </c>
      <c r="C91" s="93" t="s">
        <v>626</v>
      </c>
      <c r="D91" s="94">
        <v>98361900.319999993</v>
      </c>
      <c r="E91" s="95">
        <f>VLOOKUP(A91,'Balancete 2014'!A:D,4,0)</f>
        <v>74647059.890000001</v>
      </c>
      <c r="I91" s="95">
        <v>50217802.609999999</v>
      </c>
      <c r="J91" s="99">
        <f t="shared" si="1"/>
        <v>23714840.429999992</v>
      </c>
    </row>
    <row r="92" spans="1:10">
      <c r="A92" s="92" t="s">
        <v>627</v>
      </c>
      <c r="B92" s="93">
        <v>0</v>
      </c>
      <c r="C92" s="93" t="s">
        <v>626</v>
      </c>
      <c r="D92" s="94">
        <v>98361900.319999993</v>
      </c>
      <c r="E92" s="95">
        <f>VLOOKUP(A92,'Balancete 2014'!A:D,4,0)</f>
        <v>74647059.890000001</v>
      </c>
      <c r="H92" s="94">
        <f>+D92-D234</f>
        <v>98104668.109999999</v>
      </c>
      <c r="I92" s="95">
        <v>50217802.609999999</v>
      </c>
      <c r="J92" s="99">
        <f t="shared" si="1"/>
        <v>23714840.429999992</v>
      </c>
    </row>
    <row r="93" spans="1:10">
      <c r="A93" s="92" t="s">
        <v>628</v>
      </c>
      <c r="B93" s="93">
        <v>-3</v>
      </c>
      <c r="C93" s="93" t="s">
        <v>629</v>
      </c>
      <c r="D93" s="94">
        <v>98361900.319999993</v>
      </c>
      <c r="E93" s="95">
        <f>VLOOKUP(A93,'Balancete 2014'!A:D,4,0)</f>
        <v>74647059.890000001</v>
      </c>
      <c r="I93" s="95">
        <v>50217802.609999999</v>
      </c>
      <c r="J93" s="99">
        <f t="shared" si="1"/>
        <v>23714840.429999992</v>
      </c>
    </row>
    <row r="94" spans="1:10">
      <c r="A94" s="92" t="s">
        <v>630</v>
      </c>
      <c r="B94" s="93">
        <v>-7</v>
      </c>
      <c r="C94" s="93" t="s">
        <v>631</v>
      </c>
      <c r="D94" s="94">
        <v>98361900.319999993</v>
      </c>
      <c r="E94" s="95">
        <f>VLOOKUP(A94,'Balancete 2014'!A:D,4,0)</f>
        <v>74647059.890000001</v>
      </c>
      <c r="I94" s="95">
        <v>50217802.609999999</v>
      </c>
      <c r="J94" s="99">
        <f t="shared" si="1"/>
        <v>23714840.429999992</v>
      </c>
    </row>
    <row r="95" spans="1:10">
      <c r="A95" s="92" t="s">
        <v>632</v>
      </c>
      <c r="B95" s="93">
        <v>-3</v>
      </c>
      <c r="C95" s="93" t="s">
        <v>631</v>
      </c>
      <c r="D95" s="94">
        <v>98361900.319999993</v>
      </c>
      <c r="E95" s="95">
        <f>VLOOKUP(A95,'Balancete 2014'!A:D,4,0)</f>
        <v>74647059.890000001</v>
      </c>
      <c r="I95" s="95">
        <v>50217802.609999999</v>
      </c>
      <c r="J95" s="99">
        <f t="shared" si="1"/>
        <v>23714840.429999992</v>
      </c>
    </row>
    <row r="96" spans="1:10">
      <c r="A96" s="92" t="s">
        <v>633</v>
      </c>
      <c r="B96" s="93">
        <v>-8</v>
      </c>
      <c r="C96" s="93" t="s">
        <v>634</v>
      </c>
      <c r="D96" s="94">
        <v>42865000</v>
      </c>
      <c r="E96" s="95">
        <f>VLOOKUP(A96,'Balancete 2014'!A:D,4,0)</f>
        <v>35006416.810000002</v>
      </c>
      <c r="I96" s="95">
        <v>26433416.77</v>
      </c>
      <c r="J96" s="99">
        <f t="shared" si="1"/>
        <v>7858583.1899999976</v>
      </c>
    </row>
    <row r="97" spans="1:10">
      <c r="A97" s="92" t="s">
        <v>635</v>
      </c>
      <c r="B97" s="93">
        <v>-6</v>
      </c>
      <c r="C97" s="93" t="s">
        <v>636</v>
      </c>
      <c r="D97" s="94">
        <v>55496900.32</v>
      </c>
      <c r="E97" s="95">
        <f>VLOOKUP(A97,'Balancete 2014'!A:D,4,0)</f>
        <v>39640643.079999998</v>
      </c>
      <c r="I97" s="95">
        <v>23784385.84</v>
      </c>
      <c r="J97" s="99">
        <f t="shared" si="1"/>
        <v>15856257.240000002</v>
      </c>
    </row>
    <row r="98" spans="1:10">
      <c r="A98" s="92">
        <v>8</v>
      </c>
      <c r="B98" s="93">
        <v>-1</v>
      </c>
      <c r="C98" s="93" t="s">
        <v>40</v>
      </c>
      <c r="D98" s="94">
        <v>70986812.579999998</v>
      </c>
      <c r="E98" s="95">
        <f>VLOOKUP(A98,'Balancete 2014'!A:D,4,0)</f>
        <v>246432966.33000001</v>
      </c>
      <c r="I98" s="95">
        <v>236857050.52000001</v>
      </c>
      <c r="J98" s="99">
        <f t="shared" si="1"/>
        <v>-175446153.75</v>
      </c>
    </row>
    <row r="99" spans="1:10">
      <c r="A99" s="92" t="s">
        <v>41</v>
      </c>
      <c r="B99" s="93">
        <v>-9</v>
      </c>
      <c r="C99" s="93" t="s">
        <v>42</v>
      </c>
      <c r="D99" s="94">
        <v>56454960.25</v>
      </c>
      <c r="E99" s="95">
        <f>VLOOKUP(A99,'Balancete 2014'!A:D,4,0)</f>
        <v>208354145.44999999</v>
      </c>
      <c r="I99" s="95">
        <v>219982487.56</v>
      </c>
      <c r="J99" s="99">
        <f t="shared" si="1"/>
        <v>-151899185.19999999</v>
      </c>
    </row>
    <row r="100" spans="1:10">
      <c r="A100" s="92" t="s">
        <v>334</v>
      </c>
      <c r="B100" s="93">
        <v>-8</v>
      </c>
      <c r="C100" s="93" t="s">
        <v>43</v>
      </c>
      <c r="D100" s="94">
        <v>47042340.520000003</v>
      </c>
      <c r="E100" s="95">
        <f>VLOOKUP(A100,'Balancete 2014'!A:D,4,0)</f>
        <v>179937188.61000001</v>
      </c>
      <c r="I100" s="95">
        <v>204216413.84</v>
      </c>
      <c r="J100" s="99">
        <f t="shared" si="1"/>
        <v>-132894848.09</v>
      </c>
    </row>
    <row r="101" spans="1:10">
      <c r="A101" s="92" t="s">
        <v>44</v>
      </c>
      <c r="B101" s="93">
        <v>-5</v>
      </c>
      <c r="C101" s="93" t="s">
        <v>45</v>
      </c>
      <c r="D101" s="94">
        <v>47042340.520000003</v>
      </c>
      <c r="E101" s="95">
        <f>VLOOKUP(A101,'Balancete 2014'!A:D,4,0)</f>
        <v>179937188.61000001</v>
      </c>
      <c r="I101" s="95">
        <v>204216413.84</v>
      </c>
      <c r="J101" s="99">
        <f t="shared" si="1"/>
        <v>-132894848.09</v>
      </c>
    </row>
    <row r="102" spans="1:10">
      <c r="A102" s="92" t="s">
        <v>46</v>
      </c>
      <c r="B102" s="93">
        <v>0</v>
      </c>
      <c r="C102" s="93" t="s">
        <v>47</v>
      </c>
      <c r="D102" s="94">
        <v>47042340.520000003</v>
      </c>
      <c r="E102" s="95">
        <f>VLOOKUP(A102,'Balancete 2014'!A:D,4,0)</f>
        <v>179937188.61000001</v>
      </c>
      <c r="I102" s="95">
        <v>204216413.84</v>
      </c>
      <c r="J102" s="99">
        <f t="shared" si="1"/>
        <v>-132894848.09</v>
      </c>
    </row>
    <row r="103" spans="1:10">
      <c r="A103" s="92" t="s">
        <v>48</v>
      </c>
      <c r="B103" s="93">
        <v>-5</v>
      </c>
      <c r="C103" s="93" t="s">
        <v>895</v>
      </c>
      <c r="D103" s="94">
        <v>26193235.66</v>
      </c>
      <c r="E103" s="95">
        <f>VLOOKUP(A103,'Balancete 2014'!A:D,4,0)</f>
        <v>154639990.65000001</v>
      </c>
      <c r="I103" s="95">
        <v>142361972.31</v>
      </c>
      <c r="J103" s="99">
        <f t="shared" si="1"/>
        <v>-128446754.99000001</v>
      </c>
    </row>
    <row r="104" spans="1:10">
      <c r="A104" s="92" t="s">
        <v>49</v>
      </c>
      <c r="B104" s="93">
        <v>-3</v>
      </c>
      <c r="C104" s="93" t="s">
        <v>896</v>
      </c>
      <c r="D104" s="94">
        <v>11640427.859999999</v>
      </c>
      <c r="E104" s="95">
        <f>VLOOKUP(A104,'Balancete 2014'!A:D,4,0)</f>
        <v>22132358.16</v>
      </c>
      <c r="I104" s="95">
        <v>56911241.530000001</v>
      </c>
      <c r="J104" s="99">
        <f t="shared" si="1"/>
        <v>-10491930.300000001</v>
      </c>
    </row>
    <row r="105" spans="1:10">
      <c r="A105" s="92" t="s">
        <v>50</v>
      </c>
      <c r="B105" s="93">
        <v>-2</v>
      </c>
      <c r="C105" s="93" t="s">
        <v>970</v>
      </c>
      <c r="D105" s="94">
        <v>9208677</v>
      </c>
      <c r="E105" s="95">
        <f>VLOOKUP(A105,'Balancete 2014'!A:D,4,0)</f>
        <v>3164839.8</v>
      </c>
      <c r="I105" s="95">
        <v>4943200</v>
      </c>
      <c r="J105" s="99">
        <f t="shared" si="1"/>
        <v>6043837.2000000002</v>
      </c>
    </row>
    <row r="106" spans="1:10">
      <c r="A106" s="92" t="s">
        <v>51</v>
      </c>
      <c r="B106" s="93">
        <v>-6</v>
      </c>
      <c r="C106" s="93" t="s">
        <v>52</v>
      </c>
      <c r="D106" s="94">
        <v>6423807.6600000001</v>
      </c>
      <c r="E106" s="95">
        <f>VLOOKUP(A106,'Balancete 2014'!A:D,4,0)</f>
        <v>10351422.710000001</v>
      </c>
      <c r="I106" s="95">
        <v>8160087.8700000001</v>
      </c>
      <c r="J106" s="99">
        <f t="shared" si="1"/>
        <v>-3927615.0500000007</v>
      </c>
    </row>
    <row r="107" spans="1:10">
      <c r="A107" s="92" t="s">
        <v>53</v>
      </c>
      <c r="B107" s="93">
        <v>0</v>
      </c>
      <c r="C107" s="93" t="s">
        <v>54</v>
      </c>
      <c r="D107" s="94">
        <v>13201.73</v>
      </c>
      <c r="E107" s="95">
        <f>VLOOKUP(A107,'Balancete 2014'!A:D,4,0)</f>
        <v>14807.52</v>
      </c>
      <c r="I107" s="95">
        <v>14832.89</v>
      </c>
      <c r="J107" s="99">
        <f t="shared" si="1"/>
        <v>-1605.7900000000009</v>
      </c>
    </row>
    <row r="108" spans="1:10">
      <c r="A108" s="92" t="s">
        <v>55</v>
      </c>
      <c r="B108" s="93">
        <v>-1</v>
      </c>
      <c r="C108" s="93" t="s">
        <v>54</v>
      </c>
      <c r="D108" s="94">
        <v>13201.73</v>
      </c>
      <c r="E108" s="95">
        <f>VLOOKUP(A108,'Balancete 2014'!A:D,4,0)</f>
        <v>14807.52</v>
      </c>
      <c r="I108" s="95">
        <v>14832.89</v>
      </c>
      <c r="J108" s="99">
        <f t="shared" si="1"/>
        <v>-1605.7900000000009</v>
      </c>
    </row>
    <row r="109" spans="1:10">
      <c r="A109" s="92" t="s">
        <v>56</v>
      </c>
      <c r="B109" s="93">
        <v>0</v>
      </c>
      <c r="C109" s="93" t="s">
        <v>802</v>
      </c>
      <c r="D109" s="94">
        <v>13201.73</v>
      </c>
      <c r="E109" s="95">
        <f>VLOOKUP(A109,'Balancete 2014'!A:D,4,0)</f>
        <v>14807.52</v>
      </c>
      <c r="I109" s="95">
        <v>14832.89</v>
      </c>
      <c r="J109" s="99">
        <f t="shared" si="1"/>
        <v>-1605.7900000000009</v>
      </c>
    </row>
    <row r="110" spans="1:10">
      <c r="A110" s="92" t="s">
        <v>57</v>
      </c>
      <c r="B110" s="93">
        <v>-3</v>
      </c>
      <c r="C110" s="93" t="s">
        <v>58</v>
      </c>
      <c r="D110" s="94">
        <v>127840.6</v>
      </c>
      <c r="E110" s="95">
        <f>VLOOKUP(A110,'Balancete 2014'!A:D,4,0)</f>
        <v>203163.67</v>
      </c>
      <c r="I110" s="95">
        <v>178085.88</v>
      </c>
      <c r="J110" s="99">
        <f t="shared" si="1"/>
        <v>-75323.070000000007</v>
      </c>
    </row>
    <row r="111" spans="1:10">
      <c r="A111" s="92" t="s">
        <v>59</v>
      </c>
      <c r="B111" s="93">
        <v>-5</v>
      </c>
      <c r="C111" s="93" t="s">
        <v>58</v>
      </c>
      <c r="D111" s="94">
        <v>127840.6</v>
      </c>
      <c r="E111" s="95">
        <f>VLOOKUP(A111,'Balancete 2014'!A:D,4,0)</f>
        <v>203163.67</v>
      </c>
      <c r="I111" s="95">
        <v>178085.88</v>
      </c>
      <c r="J111" s="99">
        <f t="shared" si="1"/>
        <v>-75323.070000000007</v>
      </c>
    </row>
    <row r="112" spans="1:10">
      <c r="A112" s="92" t="s">
        <v>60</v>
      </c>
      <c r="B112" s="93">
        <v>-3</v>
      </c>
      <c r="C112" s="93" t="s">
        <v>58</v>
      </c>
      <c r="D112" s="94">
        <v>127840.6</v>
      </c>
      <c r="E112" s="95">
        <f>VLOOKUP(A112,'Balancete 2014'!A:D,4,0)</f>
        <v>203163.67</v>
      </c>
      <c r="I112" s="95">
        <v>178085.88</v>
      </c>
      <c r="J112" s="99">
        <f t="shared" si="1"/>
        <v>-75323.070000000007</v>
      </c>
    </row>
    <row r="113" spans="1:10">
      <c r="A113" s="92" t="s">
        <v>61</v>
      </c>
      <c r="B113" s="93">
        <v>-6</v>
      </c>
      <c r="C113" s="93" t="s">
        <v>62</v>
      </c>
      <c r="D113" s="94">
        <v>1599392.25</v>
      </c>
      <c r="E113" s="95">
        <f>VLOOKUP(A113,'Balancete 2014'!A:D,4,0)</f>
        <v>2353974.4900000002</v>
      </c>
      <c r="I113" s="95">
        <v>1764837.59</v>
      </c>
      <c r="J113" s="99">
        <f t="shared" si="1"/>
        <v>-754582.24000000022</v>
      </c>
    </row>
    <row r="114" spans="1:10">
      <c r="A114" s="92" t="s">
        <v>63</v>
      </c>
      <c r="B114" s="93">
        <v>-3</v>
      </c>
      <c r="C114" s="93" t="s">
        <v>803</v>
      </c>
      <c r="D114" s="94">
        <v>1599392.25</v>
      </c>
      <c r="E114" s="95">
        <f>VLOOKUP(A114,'Balancete 2014'!A:D,4,0)</f>
        <v>2353974.4900000002</v>
      </c>
      <c r="I114" s="95">
        <v>1764837.59</v>
      </c>
      <c r="J114" s="99">
        <f t="shared" si="1"/>
        <v>-754582.24000000022</v>
      </c>
    </row>
    <row r="115" spans="1:10">
      <c r="A115" s="92" t="s">
        <v>64</v>
      </c>
      <c r="B115" s="93">
        <v>-1</v>
      </c>
      <c r="C115" s="93" t="s">
        <v>804</v>
      </c>
      <c r="D115" s="94">
        <v>1013275.06</v>
      </c>
      <c r="E115" s="95">
        <f>VLOOKUP(A115,'Balancete 2014'!A:D,4,0)</f>
        <v>1688457.37</v>
      </c>
      <c r="I115" s="95">
        <v>1247109.55</v>
      </c>
      <c r="J115" s="99">
        <f t="shared" si="1"/>
        <v>-675182.31</v>
      </c>
    </row>
    <row r="116" spans="1:10">
      <c r="A116" s="92" t="s">
        <v>65</v>
      </c>
      <c r="B116" s="93">
        <v>0</v>
      </c>
      <c r="C116" s="93" t="s">
        <v>805</v>
      </c>
      <c r="D116" s="94">
        <v>96532.88</v>
      </c>
      <c r="E116" s="95">
        <f>VLOOKUP(A116,'Balancete 2014'!A:D,4,0)</f>
        <v>114779.71</v>
      </c>
      <c r="I116" s="95">
        <v>85225.19</v>
      </c>
      <c r="J116" s="99">
        <f t="shared" si="1"/>
        <v>-18246.830000000002</v>
      </c>
    </row>
    <row r="117" spans="1:10">
      <c r="A117" s="92" t="s">
        <v>66</v>
      </c>
      <c r="B117" s="93">
        <v>-8</v>
      </c>
      <c r="C117" s="93" t="s">
        <v>806</v>
      </c>
      <c r="D117" s="94">
        <v>290810.71999999997</v>
      </c>
      <c r="E117" s="95">
        <f>VLOOKUP(A117,'Balancete 2014'!A:D,4,0)</f>
        <v>313339.5</v>
      </c>
      <c r="I117" s="95">
        <v>248070.85</v>
      </c>
      <c r="J117" s="99">
        <f t="shared" si="1"/>
        <v>-22528.780000000028</v>
      </c>
    </row>
    <row r="118" spans="1:10">
      <c r="A118" s="92" t="s">
        <v>67</v>
      </c>
      <c r="B118" s="93">
        <v>-4</v>
      </c>
      <c r="C118" s="93" t="s">
        <v>897</v>
      </c>
      <c r="D118" s="94">
        <v>10562.97</v>
      </c>
      <c r="E118" s="95">
        <f>VLOOKUP(A118,'Balancete 2014'!A:D,4,0)</f>
        <v>143226.23000000001</v>
      </c>
      <c r="I118" s="95">
        <v>49636.160000000003</v>
      </c>
      <c r="J118" s="99">
        <f t="shared" si="1"/>
        <v>-132663.26</v>
      </c>
    </row>
    <row r="119" spans="1:10">
      <c r="A119" s="92" t="s">
        <v>68</v>
      </c>
      <c r="B119" s="93">
        <v>0</v>
      </c>
      <c r="C119" s="93" t="s">
        <v>807</v>
      </c>
      <c r="D119" s="94">
        <v>40246.76</v>
      </c>
      <c r="E119" s="95">
        <f>VLOOKUP(A119,'Balancete 2014'!A:D,4,0)</f>
        <v>34639.360000000001</v>
      </c>
      <c r="I119" s="95">
        <v>30241.439999999999</v>
      </c>
      <c r="J119" s="99">
        <f t="shared" si="1"/>
        <v>5607.4000000000015</v>
      </c>
    </row>
    <row r="120" spans="1:10">
      <c r="A120" s="92" t="s">
        <v>439</v>
      </c>
      <c r="B120" s="93">
        <v>0</v>
      </c>
      <c r="C120" s="93" t="s">
        <v>808</v>
      </c>
      <c r="D120" s="94">
        <v>76274.5</v>
      </c>
      <c r="E120" s="95" t="e">
        <f>VLOOKUP(A120,'Balancete 2014'!A:D,4,0)</f>
        <v>#N/A</v>
      </c>
      <c r="I120" s="95" t="e">
        <v>#N/A</v>
      </c>
      <c r="J120" s="99" t="e">
        <f t="shared" si="1"/>
        <v>#N/A</v>
      </c>
    </row>
    <row r="121" spans="1:10">
      <c r="A121" s="92" t="s">
        <v>441</v>
      </c>
      <c r="B121" s="93">
        <v>-9</v>
      </c>
      <c r="C121" s="93" t="s">
        <v>809</v>
      </c>
      <c r="D121" s="94">
        <v>6101.96</v>
      </c>
      <c r="E121" s="95" t="e">
        <f>VLOOKUP(A121,'Balancete 2014'!A:D,4,0)</f>
        <v>#N/A</v>
      </c>
      <c r="I121" s="95" t="e">
        <v>#N/A</v>
      </c>
      <c r="J121" s="99" t="e">
        <f t="shared" si="1"/>
        <v>#N/A</v>
      </c>
    </row>
    <row r="122" spans="1:10">
      <c r="A122" s="92" t="s">
        <v>443</v>
      </c>
      <c r="B122" s="93">
        <v>-7</v>
      </c>
      <c r="C122" s="93" t="s">
        <v>810</v>
      </c>
      <c r="D122" s="94">
        <v>15254.9</v>
      </c>
      <c r="E122" s="95" t="e">
        <f>VLOOKUP(A122,'Balancete 2014'!A:D,4,0)</f>
        <v>#N/A</v>
      </c>
      <c r="I122" s="95" t="e">
        <v>#N/A</v>
      </c>
      <c r="J122" s="99" t="e">
        <f t="shared" si="1"/>
        <v>#N/A</v>
      </c>
    </row>
    <row r="123" spans="1:10">
      <c r="A123" s="92" t="s">
        <v>445</v>
      </c>
      <c r="B123" s="93">
        <v>-5</v>
      </c>
      <c r="C123" s="93" t="s">
        <v>811</v>
      </c>
      <c r="D123" s="94">
        <v>9152.94</v>
      </c>
      <c r="E123" s="95" t="e">
        <f>VLOOKUP(A123,'Balancete 2014'!A:D,4,0)</f>
        <v>#N/A</v>
      </c>
      <c r="I123" s="95" t="e">
        <v>#N/A</v>
      </c>
      <c r="J123" s="99" t="e">
        <f t="shared" si="1"/>
        <v>#N/A</v>
      </c>
    </row>
    <row r="124" spans="1:10">
      <c r="A124" s="92" t="s">
        <v>69</v>
      </c>
      <c r="B124" s="93">
        <v>-3</v>
      </c>
      <c r="C124" s="93" t="s">
        <v>812</v>
      </c>
      <c r="D124" s="94">
        <v>34755.269999999997</v>
      </c>
      <c r="E124" s="95">
        <f>VLOOKUP(A124,'Balancete 2014'!A:D,4,0)</f>
        <v>30791.21</v>
      </c>
      <c r="I124" s="95">
        <v>74532.259999999995</v>
      </c>
      <c r="J124" s="99">
        <f t="shared" si="1"/>
        <v>3964.0599999999977</v>
      </c>
    </row>
    <row r="125" spans="1:10">
      <c r="A125" s="92" t="s">
        <v>71</v>
      </c>
      <c r="B125" s="93">
        <v>0</v>
      </c>
      <c r="C125" s="93" t="s">
        <v>813</v>
      </c>
      <c r="D125" s="94">
        <v>6424.29</v>
      </c>
      <c r="E125" s="95" t="e">
        <f>VLOOKUP(A125,'Balancete 2014'!A:D,4,0)</f>
        <v>#N/A</v>
      </c>
      <c r="I125" s="95">
        <v>7862.11</v>
      </c>
      <c r="J125" s="99" t="e">
        <f t="shared" si="1"/>
        <v>#N/A</v>
      </c>
    </row>
    <row r="126" spans="1:10">
      <c r="A126" s="92" t="s">
        <v>72</v>
      </c>
      <c r="B126" s="93">
        <v>-8</v>
      </c>
      <c r="C126" s="93" t="s">
        <v>73</v>
      </c>
      <c r="D126" s="94">
        <v>54034.62</v>
      </c>
      <c r="E126" s="95">
        <f>VLOOKUP(A126,'Balancete 2014'!A:D,4,0)</f>
        <v>71545.98</v>
      </c>
      <c r="I126" s="95">
        <v>56070.12</v>
      </c>
      <c r="J126" s="99">
        <f t="shared" si="1"/>
        <v>-17511.359999999993</v>
      </c>
    </row>
    <row r="127" spans="1:10">
      <c r="A127" s="92" t="s">
        <v>74</v>
      </c>
      <c r="B127" s="93">
        <v>0</v>
      </c>
      <c r="C127" s="93" t="s">
        <v>814</v>
      </c>
      <c r="D127" s="94">
        <v>54034.62</v>
      </c>
      <c r="E127" s="95">
        <f>VLOOKUP(A127,'Balancete 2014'!A:D,4,0)</f>
        <v>71545.98</v>
      </c>
      <c r="I127" s="95">
        <v>56070.12</v>
      </c>
      <c r="J127" s="99">
        <f t="shared" si="1"/>
        <v>-17511.359999999993</v>
      </c>
    </row>
    <row r="128" spans="1:10">
      <c r="A128" s="92" t="s">
        <v>76</v>
      </c>
      <c r="B128" s="93">
        <v>-8</v>
      </c>
      <c r="C128" s="93" t="s">
        <v>815</v>
      </c>
      <c r="D128" s="94">
        <v>54034.62</v>
      </c>
      <c r="E128" s="95">
        <f>VLOOKUP(A128,'Balancete 2014'!A:D,4,0)</f>
        <v>71545.98</v>
      </c>
      <c r="I128" s="95">
        <v>56070.12</v>
      </c>
      <c r="J128" s="99">
        <f t="shared" si="1"/>
        <v>-17511.359999999993</v>
      </c>
    </row>
    <row r="129" spans="1:10">
      <c r="A129" s="92" t="s">
        <v>77</v>
      </c>
      <c r="B129" s="93">
        <v>-5</v>
      </c>
      <c r="C129" s="93" t="s">
        <v>78</v>
      </c>
      <c r="D129" s="94">
        <v>412061.85</v>
      </c>
      <c r="E129" s="95">
        <f>VLOOKUP(A129,'Balancete 2014'!A:D,4,0)</f>
        <v>239017.62</v>
      </c>
      <c r="I129" s="95">
        <v>204821.31</v>
      </c>
      <c r="J129" s="99">
        <f t="shared" si="1"/>
        <v>173044.22999999998</v>
      </c>
    </row>
    <row r="130" spans="1:10">
      <c r="A130" s="92" t="s">
        <v>79</v>
      </c>
      <c r="B130" s="93">
        <v>-3</v>
      </c>
      <c r="C130" s="93" t="s">
        <v>78</v>
      </c>
      <c r="D130" s="94">
        <v>412061.85</v>
      </c>
      <c r="E130" s="95">
        <f>VLOOKUP(A130,'Balancete 2014'!A:D,4,0)</f>
        <v>239017.62</v>
      </c>
      <c r="I130" s="95">
        <v>204821.31</v>
      </c>
      <c r="J130" s="99">
        <f t="shared" si="1"/>
        <v>173044.22999999998</v>
      </c>
    </row>
    <row r="131" spans="1:10">
      <c r="A131" s="92" t="s">
        <v>80</v>
      </c>
      <c r="B131" s="93">
        <v>-1</v>
      </c>
      <c r="C131" s="93" t="s">
        <v>898</v>
      </c>
      <c r="D131" s="94">
        <v>10919.66</v>
      </c>
      <c r="E131" s="95">
        <f>VLOOKUP(A131,'Balancete 2014'!A:D,4,0)</f>
        <v>24681.7</v>
      </c>
      <c r="I131" s="95">
        <v>14132.23</v>
      </c>
      <c r="J131" s="99">
        <f t="shared" si="1"/>
        <v>-13762.04</v>
      </c>
    </row>
    <row r="132" spans="1:10">
      <c r="A132" s="92" t="s">
        <v>81</v>
      </c>
      <c r="B132" s="93">
        <v>-8</v>
      </c>
      <c r="C132" s="93" t="s">
        <v>816</v>
      </c>
      <c r="D132" s="94">
        <v>118252.4</v>
      </c>
      <c r="E132" s="95">
        <f>VLOOKUP(A132,'Balancete 2014'!A:D,4,0)</f>
        <v>214442.23999999999</v>
      </c>
      <c r="I132" s="95">
        <v>190689.08</v>
      </c>
      <c r="J132" s="99">
        <f t="shared" si="1"/>
        <v>-96189.84</v>
      </c>
    </row>
    <row r="133" spans="1:10">
      <c r="A133" s="92" t="s">
        <v>899</v>
      </c>
      <c r="B133" s="93">
        <v>-9</v>
      </c>
      <c r="C133" s="93" t="s">
        <v>900</v>
      </c>
      <c r="D133" s="94">
        <v>282889.78999999998</v>
      </c>
      <c r="E133" s="95" t="e">
        <f>VLOOKUP(A133,'Balancete 2014'!A:D,4,0)</f>
        <v>#N/A</v>
      </c>
      <c r="I133" s="95" t="e">
        <v>#N/A</v>
      </c>
      <c r="J133" s="99" t="e">
        <f t="shared" si="1"/>
        <v>#N/A</v>
      </c>
    </row>
    <row r="134" spans="1:10">
      <c r="A134" s="92" t="s">
        <v>82</v>
      </c>
      <c r="B134" s="93">
        <v>-7</v>
      </c>
      <c r="C134" s="93" t="s">
        <v>83</v>
      </c>
      <c r="D134" s="94">
        <v>967584.2</v>
      </c>
      <c r="E134" s="95">
        <f>VLOOKUP(A134,'Balancete 2014'!A:D,4,0)</f>
        <v>1658422.32</v>
      </c>
      <c r="I134" s="95">
        <v>1155929.23</v>
      </c>
      <c r="J134" s="99">
        <f t="shared" si="1"/>
        <v>-690838.12000000011</v>
      </c>
    </row>
    <row r="135" spans="1:10">
      <c r="A135" s="92" t="s">
        <v>84</v>
      </c>
      <c r="B135" s="93">
        <v>-5</v>
      </c>
      <c r="C135" s="93" t="s">
        <v>817</v>
      </c>
      <c r="D135" s="94">
        <v>151078.39000000001</v>
      </c>
      <c r="E135" s="95">
        <f>VLOOKUP(A135,'Balancete 2014'!A:D,4,0)</f>
        <v>302860.93</v>
      </c>
      <c r="I135" s="95">
        <v>226281.58</v>
      </c>
      <c r="J135" s="99">
        <f t="shared" si="1"/>
        <v>-151782.53999999998</v>
      </c>
    </row>
    <row r="136" spans="1:10">
      <c r="A136" s="92" t="s">
        <v>85</v>
      </c>
      <c r="B136" s="93">
        <v>-3</v>
      </c>
      <c r="C136" s="93" t="s">
        <v>818</v>
      </c>
      <c r="D136" s="94">
        <v>140270.57</v>
      </c>
      <c r="E136" s="95">
        <f>VLOOKUP(A136,'Balancete 2014'!A:D,4,0)</f>
        <v>286736.36</v>
      </c>
      <c r="I136" s="95">
        <v>211005.53</v>
      </c>
      <c r="J136" s="99">
        <f t="shared" si="1"/>
        <v>-146465.78999999998</v>
      </c>
    </row>
    <row r="137" spans="1:10">
      <c r="A137" s="92" t="s">
        <v>86</v>
      </c>
      <c r="B137" s="93">
        <v>-1</v>
      </c>
      <c r="C137" s="93" t="s">
        <v>819</v>
      </c>
      <c r="D137" s="94">
        <v>10807.82</v>
      </c>
      <c r="E137" s="95">
        <f>VLOOKUP(A137,'Balancete 2014'!A:D,4,0)</f>
        <v>16124.57</v>
      </c>
      <c r="I137" s="95">
        <v>15276.05</v>
      </c>
      <c r="J137" s="99">
        <f t="shared" si="1"/>
        <v>-5316.75</v>
      </c>
    </row>
    <row r="138" spans="1:10">
      <c r="A138" s="92" t="s">
        <v>87</v>
      </c>
      <c r="B138" s="93">
        <v>-7</v>
      </c>
      <c r="C138" s="93" t="s">
        <v>820</v>
      </c>
      <c r="D138" s="94">
        <v>503314.54</v>
      </c>
      <c r="E138" s="95">
        <f>VLOOKUP(A138,'Balancete 2014'!A:D,4,0)</f>
        <v>931482.37</v>
      </c>
      <c r="I138" s="95">
        <v>674325.37</v>
      </c>
      <c r="J138" s="99">
        <f t="shared" si="1"/>
        <v>-428167.83</v>
      </c>
    </row>
    <row r="139" spans="1:10">
      <c r="A139" s="92" t="s">
        <v>88</v>
      </c>
      <c r="B139" s="93">
        <v>-5</v>
      </c>
      <c r="C139" s="93" t="s">
        <v>821</v>
      </c>
      <c r="D139" s="94">
        <v>503314.54</v>
      </c>
      <c r="E139" s="95">
        <f>VLOOKUP(A139,'Balancete 2014'!A:D,4,0)</f>
        <v>931482.37</v>
      </c>
      <c r="I139" s="95">
        <v>674325.37</v>
      </c>
      <c r="J139" s="99">
        <f t="shared" si="1"/>
        <v>-428167.83</v>
      </c>
    </row>
    <row r="140" spans="1:10">
      <c r="A140" s="92" t="s">
        <v>89</v>
      </c>
      <c r="B140" s="93">
        <v>-2</v>
      </c>
      <c r="C140" s="93" t="s">
        <v>822</v>
      </c>
      <c r="D140" s="94">
        <v>235626.3</v>
      </c>
      <c r="E140" s="95">
        <f>VLOOKUP(A140,'Balancete 2014'!A:D,4,0)</f>
        <v>329456.34999999998</v>
      </c>
      <c r="I140" s="95">
        <v>185737.43</v>
      </c>
      <c r="J140" s="99">
        <f t="shared" si="1"/>
        <v>-93830.049999999988</v>
      </c>
    </row>
    <row r="141" spans="1:10">
      <c r="A141" s="92" t="s">
        <v>638</v>
      </c>
      <c r="B141" s="93">
        <v>0</v>
      </c>
      <c r="C141" s="93" t="s">
        <v>823</v>
      </c>
      <c r="D141" s="94">
        <v>200921.05</v>
      </c>
      <c r="E141" s="95">
        <f>VLOOKUP(A141,'Balancete 2014'!A:D,4,0)</f>
        <v>311269.01</v>
      </c>
      <c r="I141" s="95">
        <v>170688.63</v>
      </c>
      <c r="J141" s="99">
        <f t="shared" si="1"/>
        <v>-110347.96000000002</v>
      </c>
    </row>
    <row r="142" spans="1:10">
      <c r="A142" s="92" t="s">
        <v>90</v>
      </c>
      <c r="B142" s="93">
        <v>-9</v>
      </c>
      <c r="C142" s="93" t="s">
        <v>824</v>
      </c>
      <c r="D142" s="94">
        <v>34705.25</v>
      </c>
      <c r="E142" s="95">
        <f>VLOOKUP(A142,'Balancete 2014'!A:D,4,0)</f>
        <v>18187.34</v>
      </c>
      <c r="I142" s="95">
        <v>15048.8</v>
      </c>
      <c r="J142" s="99">
        <f t="shared" si="1"/>
        <v>16517.91</v>
      </c>
    </row>
    <row r="143" spans="1:10">
      <c r="A143" s="92" t="s">
        <v>91</v>
      </c>
      <c r="B143" s="93">
        <v>0</v>
      </c>
      <c r="C143" s="93" t="s">
        <v>825</v>
      </c>
      <c r="D143" s="94">
        <v>77564.97</v>
      </c>
      <c r="E143" s="95">
        <f>VLOOKUP(A143,'Balancete 2014'!A:D,4,0)</f>
        <v>94622.67</v>
      </c>
      <c r="I143" s="95">
        <v>69584.850000000006</v>
      </c>
      <c r="J143" s="99">
        <f t="shared" si="1"/>
        <v>-17057.699999999997</v>
      </c>
    </row>
    <row r="144" spans="1:10">
      <c r="A144" s="92" t="s">
        <v>92</v>
      </c>
      <c r="B144" s="93">
        <v>-9</v>
      </c>
      <c r="C144" s="93" t="s">
        <v>826</v>
      </c>
      <c r="D144" s="94">
        <v>77564.97</v>
      </c>
      <c r="E144" s="95">
        <f>VLOOKUP(A144,'Balancete 2014'!A:D,4,0)</f>
        <v>94622.67</v>
      </c>
      <c r="I144" s="95">
        <v>69584.850000000006</v>
      </c>
      <c r="J144" s="99">
        <f t="shared" si="1"/>
        <v>-17057.699999999997</v>
      </c>
    </row>
    <row r="145" spans="1:10">
      <c r="A145" s="92" t="s">
        <v>93</v>
      </c>
      <c r="B145" s="93">
        <v>0</v>
      </c>
      <c r="C145" s="93" t="s">
        <v>94</v>
      </c>
      <c r="D145" s="94">
        <v>2172053.0699999998</v>
      </c>
      <c r="E145" s="95">
        <f>VLOOKUP(A145,'Balancete 2014'!A:D,4,0)</f>
        <v>3442611.36</v>
      </c>
      <c r="I145" s="95">
        <v>2820690.97</v>
      </c>
      <c r="J145" s="99">
        <f t="shared" si="1"/>
        <v>-1270558.29</v>
      </c>
    </row>
    <row r="146" spans="1:10">
      <c r="A146" s="92" t="s">
        <v>95</v>
      </c>
      <c r="B146" s="93">
        <v>-2</v>
      </c>
      <c r="C146" s="93" t="s">
        <v>94</v>
      </c>
      <c r="D146" s="94">
        <v>2172053.0699999998</v>
      </c>
      <c r="E146" s="95">
        <f>VLOOKUP(A146,'Balancete 2014'!A:D,4,0)</f>
        <v>3442611.36</v>
      </c>
      <c r="I146" s="95">
        <v>2820690.97</v>
      </c>
      <c r="J146" s="99">
        <f t="shared" si="1"/>
        <v>-1270558.29</v>
      </c>
    </row>
    <row r="147" spans="1:10">
      <c r="A147" s="92" t="s">
        <v>96</v>
      </c>
      <c r="B147" s="93">
        <v>0</v>
      </c>
      <c r="C147" s="93" t="s">
        <v>827</v>
      </c>
      <c r="D147" s="94">
        <v>523497.4</v>
      </c>
      <c r="E147" s="95">
        <f>VLOOKUP(A147,'Balancete 2014'!A:D,4,0)</f>
        <v>865877.22</v>
      </c>
      <c r="I147" s="95">
        <v>702775.2</v>
      </c>
      <c r="J147" s="99">
        <f t="shared" ref="J147:J210" si="2">+D147-E147</f>
        <v>-342379.81999999995</v>
      </c>
    </row>
    <row r="148" spans="1:10">
      <c r="A148" s="92" t="s">
        <v>97</v>
      </c>
      <c r="B148" s="93">
        <v>-9</v>
      </c>
      <c r="C148" s="93" t="s">
        <v>828</v>
      </c>
      <c r="D148" s="94">
        <v>728397.45</v>
      </c>
      <c r="E148" s="95">
        <f>VLOOKUP(A148,'Balancete 2014'!A:D,4,0)</f>
        <v>1103577.68</v>
      </c>
      <c r="I148" s="95">
        <v>879066.62</v>
      </c>
      <c r="J148" s="99">
        <f t="shared" si="2"/>
        <v>-375180.23</v>
      </c>
    </row>
    <row r="149" spans="1:10">
      <c r="A149" s="92" t="s">
        <v>98</v>
      </c>
      <c r="B149" s="93">
        <v>-7</v>
      </c>
      <c r="C149" s="93" t="s">
        <v>901</v>
      </c>
      <c r="D149" s="94">
        <v>15614.23</v>
      </c>
      <c r="E149" s="95">
        <f>VLOOKUP(A149,'Balancete 2014'!A:D,4,0)</f>
        <v>79125.73</v>
      </c>
      <c r="I149" s="95">
        <v>31305.88</v>
      </c>
      <c r="J149" s="99">
        <f t="shared" si="2"/>
        <v>-63511.5</v>
      </c>
    </row>
    <row r="150" spans="1:10">
      <c r="A150" s="92" t="s">
        <v>99</v>
      </c>
      <c r="B150" s="93">
        <v>-5</v>
      </c>
      <c r="C150" s="93" t="s">
        <v>902</v>
      </c>
      <c r="D150" s="94">
        <v>35538.35</v>
      </c>
      <c r="E150" s="95">
        <f>VLOOKUP(A150,'Balancete 2014'!A:D,4,0)</f>
        <v>65240.13</v>
      </c>
      <c r="I150" s="95">
        <v>68286.39</v>
      </c>
      <c r="J150" s="99">
        <f t="shared" si="2"/>
        <v>-29701.78</v>
      </c>
    </row>
    <row r="151" spans="1:10">
      <c r="A151" s="92" t="s">
        <v>100</v>
      </c>
      <c r="B151" s="93">
        <v>-1</v>
      </c>
      <c r="C151" s="93" t="s">
        <v>829</v>
      </c>
      <c r="D151" s="94">
        <v>415790.43</v>
      </c>
      <c r="E151" s="95">
        <f>VLOOKUP(A151,'Balancete 2014'!A:D,4,0)</f>
        <v>611912.44999999995</v>
      </c>
      <c r="I151" s="95">
        <v>522172.44</v>
      </c>
      <c r="J151" s="99">
        <f t="shared" si="2"/>
        <v>-196122.01999999996</v>
      </c>
    </row>
    <row r="152" spans="1:10">
      <c r="A152" s="92" t="s">
        <v>101</v>
      </c>
      <c r="B152" s="93">
        <v>-8</v>
      </c>
      <c r="C152" s="93" t="s">
        <v>830</v>
      </c>
      <c r="D152" s="94">
        <v>22696.45</v>
      </c>
      <c r="E152" s="95">
        <f>VLOOKUP(A152,'Balancete 2014'!A:D,4,0)</f>
        <v>37505.410000000003</v>
      </c>
      <c r="I152" s="95">
        <v>32079.599999999999</v>
      </c>
      <c r="J152" s="99">
        <f t="shared" si="2"/>
        <v>-14808.960000000003</v>
      </c>
    </row>
    <row r="153" spans="1:10">
      <c r="A153" s="92" t="s">
        <v>102</v>
      </c>
      <c r="B153" s="93">
        <v>-4</v>
      </c>
      <c r="C153" s="93" t="s">
        <v>831</v>
      </c>
      <c r="D153" s="94">
        <v>135098.03</v>
      </c>
      <c r="E153" s="95">
        <f>VLOOKUP(A153,'Balancete 2014'!A:D,4,0)</f>
        <v>223246.51</v>
      </c>
      <c r="I153" s="95">
        <v>190950.32</v>
      </c>
      <c r="J153" s="99">
        <f t="shared" si="2"/>
        <v>-88148.48000000001</v>
      </c>
    </row>
    <row r="154" spans="1:10">
      <c r="A154" s="92" t="s">
        <v>103</v>
      </c>
      <c r="B154" s="93">
        <v>-2</v>
      </c>
      <c r="C154" s="93" t="s">
        <v>832</v>
      </c>
      <c r="D154" s="94">
        <v>245338.02</v>
      </c>
      <c r="E154" s="95">
        <f>VLOOKUP(A154,'Balancete 2014'!A:D,4,0)</f>
        <v>412820.2</v>
      </c>
      <c r="I154" s="95">
        <v>346665.82</v>
      </c>
      <c r="J154" s="99">
        <f t="shared" si="2"/>
        <v>-167482.18000000002</v>
      </c>
    </row>
    <row r="155" spans="1:10">
      <c r="A155" s="92" t="s">
        <v>104</v>
      </c>
      <c r="B155" s="93">
        <v>0</v>
      </c>
      <c r="C155" s="93" t="s">
        <v>903</v>
      </c>
      <c r="D155" s="94">
        <v>24414.07</v>
      </c>
      <c r="E155" s="95">
        <f>VLOOKUP(A155,'Balancete 2014'!A:D,4,0)</f>
        <v>43155.78</v>
      </c>
      <c r="I155" s="95">
        <v>47342.11</v>
      </c>
      <c r="J155" s="99">
        <f t="shared" si="2"/>
        <v>-18741.71</v>
      </c>
    </row>
    <row r="156" spans="1:10">
      <c r="A156" s="92" t="s">
        <v>105</v>
      </c>
      <c r="B156" s="93">
        <v>-9</v>
      </c>
      <c r="C156" s="93" t="s">
        <v>904</v>
      </c>
      <c r="D156" s="94">
        <v>16.64</v>
      </c>
      <c r="E156" s="95">
        <f>VLOOKUP(A156,'Balancete 2014'!A:D,4,0)</f>
        <v>113.72</v>
      </c>
      <c r="I156" s="95">
        <v>46.59</v>
      </c>
      <c r="J156" s="99">
        <f t="shared" si="2"/>
        <v>-97.08</v>
      </c>
    </row>
    <row r="157" spans="1:10">
      <c r="A157" s="92" t="s">
        <v>476</v>
      </c>
      <c r="B157" s="93">
        <v>-1</v>
      </c>
      <c r="C157" s="93" t="s">
        <v>905</v>
      </c>
      <c r="D157" s="94">
        <v>25652</v>
      </c>
      <c r="E157" s="95">
        <f>VLOOKUP(A157,'Balancete 2014'!A:D,4,0)</f>
        <v>36.53</v>
      </c>
      <c r="I157" s="95" t="e">
        <v>#N/A</v>
      </c>
      <c r="J157" s="99">
        <f t="shared" si="2"/>
        <v>25615.47</v>
      </c>
    </row>
    <row r="158" spans="1:10">
      <c r="A158" s="92" t="s">
        <v>755</v>
      </c>
      <c r="B158" s="93">
        <v>-6</v>
      </c>
      <c r="C158" s="93" t="s">
        <v>833</v>
      </c>
      <c r="D158" s="94">
        <v>23405.16</v>
      </c>
      <c r="E158" s="95" t="e">
        <f>VLOOKUP(A158,'Balancete 2014'!A:D,4,0)</f>
        <v>#N/A</v>
      </c>
      <c r="I158" s="95" t="e">
        <v>#N/A</v>
      </c>
      <c r="J158" s="99" t="e">
        <f t="shared" si="2"/>
        <v>#N/A</v>
      </c>
    </row>
    <row r="159" spans="1:10">
      <c r="A159" s="92" t="s">
        <v>756</v>
      </c>
      <c r="B159" s="93">
        <v>-1</v>
      </c>
      <c r="C159" s="93" t="s">
        <v>833</v>
      </c>
      <c r="D159" s="94">
        <v>23405.16</v>
      </c>
      <c r="E159" s="95" t="e">
        <f>VLOOKUP(A159,'Balancete 2014'!A:D,4,0)</f>
        <v>#N/A</v>
      </c>
      <c r="I159" s="95" t="e">
        <v>#N/A</v>
      </c>
      <c r="J159" s="99" t="e">
        <f t="shared" si="2"/>
        <v>#N/A</v>
      </c>
    </row>
    <row r="160" spans="1:10">
      <c r="A160" s="92" t="s">
        <v>757</v>
      </c>
      <c r="B160" s="93">
        <v>0</v>
      </c>
      <c r="C160" s="93" t="s">
        <v>790</v>
      </c>
      <c r="D160" s="94">
        <v>23405.16</v>
      </c>
      <c r="E160" s="95" t="e">
        <f>VLOOKUP(A160,'Balancete 2014'!A:D,4,0)</f>
        <v>#N/A</v>
      </c>
      <c r="I160" s="95" t="e">
        <v>#N/A</v>
      </c>
      <c r="J160" s="99" t="e">
        <f t="shared" si="2"/>
        <v>#N/A</v>
      </c>
    </row>
    <row r="161" spans="1:10">
      <c r="A161" s="92" t="s">
        <v>106</v>
      </c>
      <c r="B161" s="93">
        <v>-8</v>
      </c>
      <c r="C161" s="93" t="s">
        <v>107</v>
      </c>
      <c r="D161" s="94">
        <v>17349.18</v>
      </c>
      <c r="E161" s="95">
        <f>VLOOKUP(A161,'Balancete 2014'!A:D,4,0)</f>
        <v>20495.25</v>
      </c>
      <c r="I161" s="95">
        <v>20972.880000000001</v>
      </c>
      <c r="J161" s="99">
        <f t="shared" si="2"/>
        <v>-3146.0699999999997</v>
      </c>
    </row>
    <row r="162" spans="1:10">
      <c r="A162" s="92" t="s">
        <v>108</v>
      </c>
      <c r="B162" s="93">
        <v>0</v>
      </c>
      <c r="C162" s="93" t="s">
        <v>834</v>
      </c>
      <c r="D162" s="94">
        <v>17349.18</v>
      </c>
      <c r="E162" s="95">
        <f>VLOOKUP(A162,'Balancete 2014'!A:D,4,0)</f>
        <v>20495.25</v>
      </c>
      <c r="I162" s="95">
        <v>20972.880000000001</v>
      </c>
      <c r="J162" s="99">
        <f t="shared" si="2"/>
        <v>-3146.0699999999997</v>
      </c>
    </row>
    <row r="163" spans="1:10">
      <c r="A163" s="92" t="s">
        <v>109</v>
      </c>
      <c r="B163" s="93">
        <v>-8</v>
      </c>
      <c r="C163" s="93" t="s">
        <v>835</v>
      </c>
      <c r="D163" s="94">
        <v>17349.18</v>
      </c>
      <c r="E163" s="95">
        <f>VLOOKUP(A163,'Balancete 2014'!A:D,4,0)</f>
        <v>20495.25</v>
      </c>
      <c r="I163" s="95">
        <v>20972.880000000001</v>
      </c>
      <c r="J163" s="99">
        <f t="shared" si="2"/>
        <v>-3146.0699999999997</v>
      </c>
    </row>
    <row r="164" spans="1:10">
      <c r="A164" s="92" t="s">
        <v>110</v>
      </c>
      <c r="B164" s="93">
        <v>-1</v>
      </c>
      <c r="C164" s="93" t="s">
        <v>111</v>
      </c>
      <c r="D164" s="94">
        <v>860322.27</v>
      </c>
      <c r="E164" s="95">
        <f>VLOOKUP(A164,'Balancete 2014'!A:D,4,0)</f>
        <v>1584800</v>
      </c>
      <c r="I164" s="95">
        <v>1213000</v>
      </c>
      <c r="J164" s="99">
        <f t="shared" si="2"/>
        <v>-724477.73</v>
      </c>
    </row>
    <row r="165" spans="1:10">
      <c r="A165" s="92" t="s">
        <v>112</v>
      </c>
      <c r="B165" s="93">
        <v>-2</v>
      </c>
      <c r="C165" s="93" t="s">
        <v>906</v>
      </c>
      <c r="D165" s="94">
        <v>860322.27</v>
      </c>
      <c r="E165" s="95">
        <f>VLOOKUP(A165,'Balancete 2014'!A:D,4,0)</f>
        <v>1584800</v>
      </c>
      <c r="I165" s="95">
        <v>1213000</v>
      </c>
      <c r="J165" s="99">
        <f t="shared" si="2"/>
        <v>-724477.73</v>
      </c>
    </row>
    <row r="166" spans="1:10">
      <c r="A166" s="92" t="s">
        <v>113</v>
      </c>
      <c r="B166" s="93">
        <v>0</v>
      </c>
      <c r="C166" s="93" t="s">
        <v>907</v>
      </c>
      <c r="D166" s="94">
        <v>515167</v>
      </c>
      <c r="E166" s="95">
        <f>VLOOKUP(A166,'Balancete 2014'!A:D,4,0)</f>
        <v>1584800</v>
      </c>
      <c r="I166" s="95">
        <v>1213000</v>
      </c>
      <c r="J166" s="99">
        <f t="shared" si="2"/>
        <v>-1069633</v>
      </c>
    </row>
    <row r="167" spans="1:10">
      <c r="A167" s="92" t="s">
        <v>758</v>
      </c>
      <c r="B167" s="93">
        <v>-9</v>
      </c>
      <c r="C167" s="93" t="s">
        <v>908</v>
      </c>
      <c r="D167" s="94">
        <v>345155.27</v>
      </c>
      <c r="E167" s="95" t="e">
        <f>VLOOKUP(A167,'Balancete 2014'!A:D,4,0)</f>
        <v>#N/A</v>
      </c>
      <c r="I167" s="95" t="e">
        <v>#N/A</v>
      </c>
      <c r="J167" s="99" t="e">
        <f t="shared" si="2"/>
        <v>#N/A</v>
      </c>
    </row>
    <row r="168" spans="1:10">
      <c r="A168" s="92" t="s">
        <v>114</v>
      </c>
      <c r="B168" s="93">
        <v>-9</v>
      </c>
      <c r="C168" s="93" t="s">
        <v>115</v>
      </c>
      <c r="D168" s="94">
        <v>204.8</v>
      </c>
      <c r="E168" s="95">
        <f>VLOOKUP(A168,'Balancete 2014'!A:D,4,0)</f>
        <v>607533.81999999995</v>
      </c>
      <c r="I168" s="95">
        <v>6374.6</v>
      </c>
      <c r="J168" s="99">
        <f t="shared" si="2"/>
        <v>-607329.0199999999</v>
      </c>
    </row>
    <row r="169" spans="1:10">
      <c r="A169" s="92" t="s">
        <v>116</v>
      </c>
      <c r="B169" s="93">
        <v>0</v>
      </c>
      <c r="C169" s="93" t="s">
        <v>115</v>
      </c>
      <c r="D169" s="94">
        <v>204.8</v>
      </c>
      <c r="E169" s="95">
        <f>VLOOKUP(A169,'Balancete 2014'!A:D,4,0)</f>
        <v>607533.81999999995</v>
      </c>
      <c r="I169" s="95">
        <v>6374.6</v>
      </c>
      <c r="J169" s="99">
        <f t="shared" si="2"/>
        <v>-607329.0199999999</v>
      </c>
    </row>
    <row r="170" spans="1:10">
      <c r="A170" s="92" t="s">
        <v>117</v>
      </c>
      <c r="B170" s="93">
        <v>-6</v>
      </c>
      <c r="C170" s="93" t="s">
        <v>679</v>
      </c>
      <c r="D170" s="94">
        <v>204.8</v>
      </c>
      <c r="E170" s="95">
        <f>VLOOKUP(A170,'Balancete 2014'!A:D,4,0)</f>
        <v>607533.81999999995</v>
      </c>
      <c r="I170" s="95">
        <v>6374.6</v>
      </c>
      <c r="J170" s="99">
        <f t="shared" si="2"/>
        <v>-607329.0199999999</v>
      </c>
    </row>
    <row r="171" spans="1:10">
      <c r="A171" s="92" t="s">
        <v>122</v>
      </c>
      <c r="B171" s="93">
        <v>0</v>
      </c>
      <c r="C171" s="93" t="s">
        <v>123</v>
      </c>
      <c r="D171" s="94">
        <v>176357.93</v>
      </c>
      <c r="E171" s="95">
        <f>VLOOKUP(A171,'Balancete 2014'!A:D,4,0)</f>
        <v>116481.54</v>
      </c>
      <c r="I171" s="95">
        <v>550792.53</v>
      </c>
      <c r="J171" s="99">
        <f t="shared" si="2"/>
        <v>59876.39</v>
      </c>
    </row>
    <row r="172" spans="1:10">
      <c r="A172" s="92" t="s">
        <v>124</v>
      </c>
      <c r="B172" s="93">
        <v>-7</v>
      </c>
      <c r="C172" s="93" t="s">
        <v>836</v>
      </c>
      <c r="D172" s="94">
        <v>176357.93</v>
      </c>
      <c r="E172" s="95">
        <f>VLOOKUP(A172,'Balancete 2014'!A:D,4,0)</f>
        <v>116481.54</v>
      </c>
      <c r="I172" s="95">
        <v>550792.53</v>
      </c>
      <c r="J172" s="99">
        <f t="shared" si="2"/>
        <v>59876.39</v>
      </c>
    </row>
    <row r="173" spans="1:10">
      <c r="A173" s="92" t="s">
        <v>125</v>
      </c>
      <c r="B173" s="93">
        <v>-6</v>
      </c>
      <c r="C173" s="93" t="s">
        <v>123</v>
      </c>
      <c r="D173" s="94">
        <v>176357.93</v>
      </c>
      <c r="E173" s="95">
        <f>VLOOKUP(A173,'Balancete 2014'!A:D,4,0)</f>
        <v>101471.54</v>
      </c>
      <c r="I173" s="95">
        <v>550752.53</v>
      </c>
      <c r="J173" s="99">
        <f t="shared" si="2"/>
        <v>74886.39</v>
      </c>
    </row>
    <row r="174" spans="1:10">
      <c r="A174" s="92" t="s">
        <v>337</v>
      </c>
      <c r="B174" s="93">
        <v>-2</v>
      </c>
      <c r="C174" s="93" t="s">
        <v>132</v>
      </c>
      <c r="D174" s="94">
        <v>2988812.07</v>
      </c>
      <c r="E174" s="95">
        <f>VLOOKUP(A174,'Balancete 2014'!A:D,4,0)</f>
        <v>18065234.129999999</v>
      </c>
      <c r="I174" s="95">
        <v>7605685.8499999996</v>
      </c>
      <c r="J174" s="99">
        <f t="shared" si="2"/>
        <v>-15076422.059999999</v>
      </c>
    </row>
    <row r="175" spans="1:10">
      <c r="A175" s="92" t="s">
        <v>133</v>
      </c>
      <c r="B175" s="93">
        <v>-3</v>
      </c>
      <c r="C175" s="93" t="s">
        <v>134</v>
      </c>
      <c r="D175" s="94">
        <v>2185606.1800000002</v>
      </c>
      <c r="E175" s="95">
        <f>VLOOKUP(A175,'Balancete 2014'!A:D,4,0)</f>
        <v>5526413.9000000004</v>
      </c>
      <c r="I175" s="95">
        <v>2988573.51</v>
      </c>
      <c r="J175" s="99">
        <f t="shared" si="2"/>
        <v>-3340807.72</v>
      </c>
    </row>
    <row r="176" spans="1:10">
      <c r="A176" s="92" t="s">
        <v>135</v>
      </c>
      <c r="B176" s="93">
        <v>-5</v>
      </c>
      <c r="C176" s="93" t="s">
        <v>134</v>
      </c>
      <c r="D176" s="94">
        <v>2185606.1800000002</v>
      </c>
      <c r="E176" s="95">
        <f>VLOOKUP(A176,'Balancete 2014'!A:D,4,0)</f>
        <v>5449581.4500000002</v>
      </c>
      <c r="I176" s="95">
        <v>2988573.51</v>
      </c>
      <c r="J176" s="99">
        <f t="shared" si="2"/>
        <v>-3263975.27</v>
      </c>
    </row>
    <row r="177" spans="1:10">
      <c r="A177" s="92" t="s">
        <v>136</v>
      </c>
      <c r="B177" s="93">
        <v>-3</v>
      </c>
      <c r="C177" s="93" t="s">
        <v>134</v>
      </c>
      <c r="D177" s="94">
        <v>2185606.1800000002</v>
      </c>
      <c r="E177" s="95">
        <f>VLOOKUP(A177,'Balancete 2014'!A:D,4,0)</f>
        <v>5449581.4500000002</v>
      </c>
      <c r="I177" s="95">
        <v>2988573.51</v>
      </c>
      <c r="J177" s="99">
        <f t="shared" si="2"/>
        <v>-3263975.27</v>
      </c>
    </row>
    <row r="178" spans="1:10">
      <c r="A178" s="92" t="s">
        <v>137</v>
      </c>
      <c r="B178" s="93">
        <v>-7</v>
      </c>
      <c r="C178" s="93" t="s">
        <v>138</v>
      </c>
      <c r="D178" s="94">
        <v>366669.87</v>
      </c>
      <c r="E178" s="95">
        <f>VLOOKUP(A178,'Balancete 2014'!A:D,4,0)</f>
        <v>1199813.55</v>
      </c>
      <c r="I178" s="95">
        <v>648835.05000000005</v>
      </c>
      <c r="J178" s="99">
        <f t="shared" si="2"/>
        <v>-833143.68</v>
      </c>
    </row>
    <row r="179" spans="1:10">
      <c r="A179" s="92" t="s">
        <v>139</v>
      </c>
      <c r="B179" s="93">
        <v>-9</v>
      </c>
      <c r="C179" s="93" t="s">
        <v>138</v>
      </c>
      <c r="D179" s="94">
        <v>366669.87</v>
      </c>
      <c r="E179" s="95">
        <f>VLOOKUP(A179,'Balancete 2014'!A:D,4,0)</f>
        <v>1183132.82</v>
      </c>
      <c r="I179" s="95">
        <v>648835.05000000005</v>
      </c>
      <c r="J179" s="99">
        <f t="shared" si="2"/>
        <v>-816462.95000000007</v>
      </c>
    </row>
    <row r="180" spans="1:10">
      <c r="A180" s="92" t="s">
        <v>140</v>
      </c>
      <c r="B180" s="93">
        <v>-7</v>
      </c>
      <c r="C180" s="93" t="s">
        <v>837</v>
      </c>
      <c r="D180" s="94">
        <v>366669.87</v>
      </c>
      <c r="E180" s="95">
        <f>VLOOKUP(A180,'Balancete 2014'!A:D,4,0)</f>
        <v>1183132.82</v>
      </c>
      <c r="I180" s="95">
        <v>648835.05000000005</v>
      </c>
      <c r="J180" s="99">
        <f t="shared" si="2"/>
        <v>-816462.95000000007</v>
      </c>
    </row>
    <row r="181" spans="1:10">
      <c r="A181" s="92" t="s">
        <v>141</v>
      </c>
      <c r="B181" s="93">
        <v>-6</v>
      </c>
      <c r="C181" s="93" t="s">
        <v>132</v>
      </c>
      <c r="D181" s="94">
        <v>436536.02</v>
      </c>
      <c r="E181" s="95">
        <f>VLOOKUP(A181,'Balancete 2014'!A:D,4,0)</f>
        <v>11339006.68</v>
      </c>
      <c r="I181" s="95">
        <v>3968277.29</v>
      </c>
      <c r="J181" s="99">
        <f t="shared" si="2"/>
        <v>-10902470.66</v>
      </c>
    </row>
    <row r="182" spans="1:10">
      <c r="A182" s="92" t="s">
        <v>142</v>
      </c>
      <c r="B182" s="93">
        <v>-3</v>
      </c>
      <c r="C182" s="93" t="s">
        <v>132</v>
      </c>
      <c r="D182" s="94">
        <v>436536.02</v>
      </c>
      <c r="E182" s="95">
        <f>VLOOKUP(A182,'Balancete 2014'!A:D,4,0)</f>
        <v>11339006.68</v>
      </c>
      <c r="I182" s="95">
        <v>3968277.29</v>
      </c>
      <c r="J182" s="99">
        <f t="shared" si="2"/>
        <v>-10902470.66</v>
      </c>
    </row>
    <row r="183" spans="1:10">
      <c r="A183" s="92" t="s">
        <v>144</v>
      </c>
      <c r="B183" s="93">
        <v>-1</v>
      </c>
      <c r="C183" s="93" t="s">
        <v>838</v>
      </c>
      <c r="D183" s="94">
        <v>538.94000000000005</v>
      </c>
      <c r="E183" s="95">
        <f>VLOOKUP(A183,'Balancete 2014'!A:D,4,0)</f>
        <v>547.33000000000004</v>
      </c>
      <c r="I183" s="95">
        <v>128.22</v>
      </c>
      <c r="J183" s="99">
        <f t="shared" si="2"/>
        <v>-8.3899999999999864</v>
      </c>
    </row>
    <row r="184" spans="1:10">
      <c r="A184" s="92" t="s">
        <v>146</v>
      </c>
      <c r="B184" s="93">
        <v>-4</v>
      </c>
      <c r="C184" s="93" t="s">
        <v>839</v>
      </c>
      <c r="D184" s="94">
        <v>435997.08</v>
      </c>
      <c r="E184" s="95">
        <f>VLOOKUP(A184,'Balancete 2014'!A:D,4,0)</f>
        <v>921432.36</v>
      </c>
      <c r="I184" s="95">
        <v>921432.36</v>
      </c>
      <c r="J184" s="99">
        <f t="shared" si="2"/>
        <v>-485435.27999999997</v>
      </c>
    </row>
    <row r="185" spans="1:10">
      <c r="A185" s="92" t="s">
        <v>147</v>
      </c>
      <c r="B185" s="93">
        <v>-7</v>
      </c>
      <c r="C185" s="93" t="s">
        <v>148</v>
      </c>
      <c r="D185" s="94">
        <v>14531852.33</v>
      </c>
      <c r="E185" s="95">
        <f>VLOOKUP(A185,'Balancete 2014'!A:D,4,0)</f>
        <v>38078820.880000003</v>
      </c>
      <c r="I185" s="95">
        <v>16874562.960000001</v>
      </c>
      <c r="J185" s="99">
        <f t="shared" si="2"/>
        <v>-23546968.550000004</v>
      </c>
    </row>
    <row r="186" spans="1:10">
      <c r="A186" s="92" t="s">
        <v>149</v>
      </c>
      <c r="B186" s="93">
        <v>0</v>
      </c>
      <c r="C186" s="93" t="s">
        <v>150</v>
      </c>
      <c r="D186" s="94">
        <v>14531852.33</v>
      </c>
      <c r="E186" s="95">
        <f>VLOOKUP(A186,'Balancete 2014'!A:D,4,0)</f>
        <v>38078820.880000003</v>
      </c>
      <c r="I186" s="95">
        <v>16874562.960000001</v>
      </c>
      <c r="J186" s="99">
        <f t="shared" si="2"/>
        <v>-23546968.550000004</v>
      </c>
    </row>
    <row r="187" spans="1:10">
      <c r="A187" s="92" t="s">
        <v>151</v>
      </c>
      <c r="B187" s="93">
        <v>-3</v>
      </c>
      <c r="C187" s="93" t="s">
        <v>150</v>
      </c>
      <c r="D187" s="94">
        <v>10682009.07</v>
      </c>
      <c r="E187" s="95">
        <f>VLOOKUP(A187,'Balancete 2014'!A:D,4,0)</f>
        <v>27993038.469999999</v>
      </c>
      <c r="I187" s="95">
        <v>12401434.48</v>
      </c>
      <c r="J187" s="99">
        <f t="shared" si="2"/>
        <v>-17311029.399999999</v>
      </c>
    </row>
    <row r="188" spans="1:10">
      <c r="A188" s="92" t="s">
        <v>341</v>
      </c>
      <c r="B188" s="93">
        <v>-5</v>
      </c>
      <c r="C188" s="93" t="s">
        <v>150</v>
      </c>
      <c r="D188" s="94">
        <v>10683615.140000001</v>
      </c>
      <c r="E188" s="95">
        <f>VLOOKUP(A188,'Balancete 2014'!A:D,4,0)</f>
        <v>27770863.710000001</v>
      </c>
      <c r="I188" s="95">
        <v>12406228.140000001</v>
      </c>
      <c r="J188" s="99">
        <f t="shared" si="2"/>
        <v>-17087248.57</v>
      </c>
    </row>
    <row r="189" spans="1:10">
      <c r="A189" s="92" t="s">
        <v>152</v>
      </c>
      <c r="B189" s="93">
        <v>-3</v>
      </c>
      <c r="C189" s="93" t="s">
        <v>150</v>
      </c>
      <c r="D189" s="94">
        <v>10683615.140000001</v>
      </c>
      <c r="E189" s="95">
        <f>VLOOKUP(A189,'Balancete 2014'!A:D,4,0)</f>
        <v>27770863.710000001</v>
      </c>
      <c r="I189" s="95">
        <v>12406228.140000001</v>
      </c>
      <c r="J189" s="99">
        <f t="shared" si="2"/>
        <v>-17087248.57</v>
      </c>
    </row>
    <row r="190" spans="1:10">
      <c r="A190" s="92" t="s">
        <v>153</v>
      </c>
      <c r="B190" s="93">
        <v>-6</v>
      </c>
      <c r="C190" s="93" t="s">
        <v>840</v>
      </c>
      <c r="D190" s="94">
        <v>-1606.07</v>
      </c>
      <c r="E190" s="95">
        <f>VLOOKUP(A190,'Balancete 2014'!A:D,4,0)</f>
        <v>-7185.28</v>
      </c>
      <c r="I190" s="95">
        <v>-4793.66</v>
      </c>
      <c r="J190" s="99">
        <f t="shared" si="2"/>
        <v>5579.21</v>
      </c>
    </row>
    <row r="191" spans="1:10">
      <c r="A191" s="92" t="s">
        <v>343</v>
      </c>
      <c r="B191" s="93">
        <v>-4</v>
      </c>
      <c r="C191" s="93" t="s">
        <v>841</v>
      </c>
      <c r="D191" s="94">
        <v>-1606.07</v>
      </c>
      <c r="E191" s="95">
        <f>VLOOKUP(A191,'Balancete 2014'!A:D,4,0)</f>
        <v>-7185.28</v>
      </c>
      <c r="I191" s="95">
        <v>-4793.66</v>
      </c>
      <c r="J191" s="99">
        <f t="shared" si="2"/>
        <v>5579.21</v>
      </c>
    </row>
    <row r="192" spans="1:10">
      <c r="A192" s="92" t="s">
        <v>154</v>
      </c>
      <c r="B192" s="93">
        <v>-7</v>
      </c>
      <c r="C192" s="93" t="s">
        <v>155</v>
      </c>
      <c r="D192" s="94">
        <v>3849843.26</v>
      </c>
      <c r="E192" s="95">
        <f>VLOOKUP(A192,'Balancete 2014'!A:D,4,0)</f>
        <v>10085782.41</v>
      </c>
      <c r="I192" s="95">
        <v>4473128.4800000004</v>
      </c>
      <c r="J192" s="99">
        <f t="shared" si="2"/>
        <v>-6235939.1500000004</v>
      </c>
    </row>
    <row r="193" spans="1:12">
      <c r="A193" s="92" t="s">
        <v>342</v>
      </c>
      <c r="B193" s="93">
        <v>-9</v>
      </c>
      <c r="C193" s="93" t="s">
        <v>155</v>
      </c>
      <c r="D193" s="94">
        <v>3850421.45</v>
      </c>
      <c r="E193" s="95">
        <f>VLOOKUP(A193,'Balancete 2014'!A:D,4,0)</f>
        <v>10005799.5</v>
      </c>
      <c r="I193" s="95">
        <v>4474854.2</v>
      </c>
      <c r="J193" s="99">
        <f t="shared" si="2"/>
        <v>-6155378.0499999998</v>
      </c>
    </row>
    <row r="194" spans="1:12">
      <c r="A194" s="92" t="s">
        <v>156</v>
      </c>
      <c r="B194" s="93">
        <v>-7</v>
      </c>
      <c r="C194" s="93" t="s">
        <v>155</v>
      </c>
      <c r="D194" s="94">
        <v>3850421.45</v>
      </c>
      <c r="E194" s="95">
        <f>VLOOKUP(A194,'Balancete 2014'!A:D,4,0)</f>
        <v>10005799.5</v>
      </c>
      <c r="I194" s="95">
        <v>4474854.2</v>
      </c>
      <c r="J194" s="99">
        <f t="shared" si="2"/>
        <v>-6155378.0499999998</v>
      </c>
    </row>
    <row r="195" spans="1:12">
      <c r="A195" s="92" t="s">
        <v>157</v>
      </c>
      <c r="B195" s="93">
        <v>0</v>
      </c>
      <c r="C195" s="93" t="s">
        <v>842</v>
      </c>
      <c r="D195" s="94">
        <v>-578.19000000000005</v>
      </c>
      <c r="E195" s="95">
        <f>VLOOKUP(A195,'Balancete 2014'!A:D,4,0)</f>
        <v>-2586.6999999999998</v>
      </c>
      <c r="I195" s="95">
        <v>-1725.72</v>
      </c>
      <c r="J195" s="99">
        <f t="shared" si="2"/>
        <v>2008.5099999999998</v>
      </c>
    </row>
    <row r="196" spans="1:12">
      <c r="A196" s="92" t="s">
        <v>344</v>
      </c>
      <c r="B196" s="93">
        <v>-8</v>
      </c>
      <c r="C196" s="93" t="s">
        <v>843</v>
      </c>
      <c r="D196" s="94">
        <v>-578.19000000000005</v>
      </c>
      <c r="E196" s="95">
        <f>VLOOKUP(A196,'Balancete 2014'!A:D,4,0)</f>
        <v>-2586.6999999999998</v>
      </c>
      <c r="I196" s="95">
        <v>-1725.72</v>
      </c>
      <c r="J196" s="99">
        <f t="shared" si="2"/>
        <v>2008.5099999999998</v>
      </c>
    </row>
    <row r="197" spans="1:12">
      <c r="A197" s="92">
        <v>4</v>
      </c>
      <c r="B197" s="93">
        <v>-6</v>
      </c>
      <c r="C197" s="93" t="s">
        <v>346</v>
      </c>
      <c r="D197" s="94">
        <v>691167444.55999994</v>
      </c>
      <c r="E197" s="95">
        <f>VLOOKUP(A197,'Balancete 2014'!A:D,4,0)</f>
        <v>496468837.75</v>
      </c>
      <c r="I197" s="95">
        <v>361640114.55000001</v>
      </c>
      <c r="J197" s="99">
        <f>+D197-E197</f>
        <v>194698606.80999994</v>
      </c>
    </row>
    <row r="198" spans="1:12">
      <c r="A198" s="92" t="s">
        <v>158</v>
      </c>
      <c r="B198" s="93">
        <v>-1</v>
      </c>
      <c r="C198" s="93" t="s">
        <v>159</v>
      </c>
      <c r="D198" s="94">
        <v>691167444.55999994</v>
      </c>
      <c r="E198" s="95">
        <f>VLOOKUP(A198,'Balancete 2014'!A:D,4,0)</f>
        <v>496468837.75</v>
      </c>
      <c r="I198" s="95">
        <v>361640114.55000001</v>
      </c>
      <c r="J198" s="99">
        <f t="shared" si="2"/>
        <v>194698606.80999994</v>
      </c>
    </row>
    <row r="199" spans="1:12">
      <c r="A199" s="92" t="s">
        <v>323</v>
      </c>
      <c r="B199" s="93">
        <v>-6</v>
      </c>
      <c r="C199" s="93" t="s">
        <v>308</v>
      </c>
      <c r="D199" s="94">
        <v>16458998.84</v>
      </c>
      <c r="E199" s="95">
        <f>VLOOKUP(A199,'Balancete 2014'!A:D,4,0)</f>
        <v>196736373.74000001</v>
      </c>
      <c r="I199" s="95">
        <v>139192097.18000001</v>
      </c>
      <c r="J199" s="99">
        <f t="shared" si="2"/>
        <v>-180277374.90000001</v>
      </c>
    </row>
    <row r="200" spans="1:12">
      <c r="A200" s="92" t="s">
        <v>309</v>
      </c>
      <c r="B200" s="93">
        <v>0</v>
      </c>
      <c r="C200" s="93" t="s">
        <v>310</v>
      </c>
      <c r="D200" s="94">
        <v>16458998.84</v>
      </c>
      <c r="E200" s="95">
        <f>VLOOKUP(A200,'Balancete 2014'!A:D,4,0)</f>
        <v>196736373.74000001</v>
      </c>
      <c r="I200" s="95">
        <v>139192097.18000001</v>
      </c>
      <c r="J200" s="99">
        <f t="shared" si="2"/>
        <v>-180277374.90000001</v>
      </c>
    </row>
    <row r="201" spans="1:12">
      <c r="A201" s="92" t="s">
        <v>311</v>
      </c>
      <c r="B201" s="93">
        <v>-1</v>
      </c>
      <c r="C201" s="93" t="s">
        <v>312</v>
      </c>
      <c r="D201" s="94">
        <v>16458998.84</v>
      </c>
      <c r="E201" s="95">
        <f>VLOOKUP(A201,'Balancete 2014'!A:D,4,0)</f>
        <v>196736373.74000001</v>
      </c>
      <c r="H201" s="94">
        <v>208428602.47</v>
      </c>
      <c r="I201" s="95">
        <v>139192097.18000001</v>
      </c>
      <c r="J201" s="99">
        <f t="shared" si="2"/>
        <v>-180277374.90000001</v>
      </c>
    </row>
    <row r="202" spans="1:12">
      <c r="A202" s="92" t="s">
        <v>247</v>
      </c>
      <c r="B202" s="93">
        <v>0</v>
      </c>
      <c r="C202" s="93" t="s">
        <v>313</v>
      </c>
      <c r="D202" s="94">
        <v>16458998.84</v>
      </c>
      <c r="E202" s="95">
        <f>VLOOKUP(A202,'Balancete 2014'!A:D,4,0)</f>
        <v>196736373.74000001</v>
      </c>
      <c r="H202" s="100">
        <f>+H201-E202</f>
        <v>11692228.729999989</v>
      </c>
      <c r="I202" s="95">
        <v>139192097.18000001</v>
      </c>
      <c r="J202" s="99">
        <f t="shared" si="2"/>
        <v>-180277374.90000001</v>
      </c>
    </row>
    <row r="203" spans="1:12">
      <c r="A203" s="92" t="s">
        <v>160</v>
      </c>
      <c r="B203" s="93">
        <v>-4</v>
      </c>
      <c r="C203" s="93" t="s">
        <v>161</v>
      </c>
      <c r="D203" s="94">
        <v>270556978.81999999</v>
      </c>
      <c r="E203" s="95">
        <f>VLOOKUP(A203,'Balancete 2014'!A:D,4,0)</f>
        <v>294025728.44999999</v>
      </c>
      <c r="I203" s="95">
        <v>219850479.72999999</v>
      </c>
      <c r="J203" s="99">
        <f t="shared" si="2"/>
        <v>-23468749.629999995</v>
      </c>
    </row>
    <row r="204" spans="1:12">
      <c r="A204" s="92" t="s">
        <v>324</v>
      </c>
      <c r="B204" s="93">
        <v>-8</v>
      </c>
      <c r="C204" s="93" t="s">
        <v>519</v>
      </c>
      <c r="D204" s="94">
        <v>6497213.3200000003</v>
      </c>
      <c r="E204" s="95">
        <f>VLOOKUP(A204,'Balancete 2014'!A:D,4,0)</f>
        <v>20106491.969999999</v>
      </c>
      <c r="I204" s="95">
        <v>9649486.3900000006</v>
      </c>
      <c r="J204" s="99">
        <f t="shared" si="2"/>
        <v>-13609278.649999999</v>
      </c>
      <c r="K204" s="100"/>
      <c r="L204" s="100"/>
    </row>
    <row r="205" spans="1:12">
      <c r="A205" s="92" t="s">
        <v>162</v>
      </c>
      <c r="B205" s="93">
        <v>0</v>
      </c>
      <c r="C205" s="93" t="s">
        <v>844</v>
      </c>
      <c r="D205" s="94">
        <v>6497213.3200000003</v>
      </c>
      <c r="E205" s="95">
        <f>VLOOKUP(A205,'Balancete 2014'!A:D,4,0)</f>
        <v>20106491.969999999</v>
      </c>
      <c r="I205" s="95">
        <v>9649486.3900000006</v>
      </c>
      <c r="J205" s="99">
        <f t="shared" si="2"/>
        <v>-13609278.649999999</v>
      </c>
      <c r="K205" s="100"/>
      <c r="L205" s="100"/>
    </row>
    <row r="206" spans="1:12">
      <c r="A206" s="92" t="s">
        <v>301</v>
      </c>
      <c r="B206" s="93">
        <v>-8</v>
      </c>
      <c r="C206" s="93" t="s">
        <v>845</v>
      </c>
      <c r="D206" s="94">
        <v>5907551.6799999997</v>
      </c>
      <c r="E206" s="95">
        <f>VLOOKUP(A206,'Balancete 2014'!A:D,4,0)</f>
        <v>9204587.2200000007</v>
      </c>
      <c r="I206" s="95">
        <v>2804391.71</v>
      </c>
      <c r="J206" s="99">
        <f t="shared" si="2"/>
        <v>-3297035.540000001</v>
      </c>
      <c r="K206" s="100"/>
      <c r="L206" s="100"/>
    </row>
    <row r="207" spans="1:12">
      <c r="A207" s="92" t="s">
        <v>163</v>
      </c>
      <c r="B207" s="93">
        <v>-6</v>
      </c>
      <c r="C207" s="93" t="s">
        <v>846</v>
      </c>
      <c r="D207" s="94">
        <v>60830.99</v>
      </c>
      <c r="E207" s="95">
        <f>VLOOKUP(A207,'Balancete 2014'!A:D,4,0)</f>
        <v>4405079.59</v>
      </c>
      <c r="I207" s="95">
        <v>3319298.04</v>
      </c>
      <c r="J207" s="99">
        <f t="shared" si="2"/>
        <v>-4344248.5999999996</v>
      </c>
      <c r="K207" s="100"/>
      <c r="L207" s="100"/>
    </row>
    <row r="208" spans="1:12">
      <c r="A208" s="92" t="s">
        <v>164</v>
      </c>
      <c r="B208" s="93">
        <v>-4</v>
      </c>
      <c r="C208" s="93" t="s">
        <v>847</v>
      </c>
      <c r="D208" s="94">
        <v>450090.45</v>
      </c>
      <c r="E208" s="95">
        <f>VLOOKUP(A208,'Balancete 2014'!A:D,4,0)</f>
        <v>5337932.0199999996</v>
      </c>
      <c r="I208" s="95">
        <v>2896870.75</v>
      </c>
      <c r="J208" s="99">
        <f t="shared" si="2"/>
        <v>-4887841.5699999994</v>
      </c>
    </row>
    <row r="209" spans="1:14">
      <c r="A209" s="92" t="s">
        <v>165</v>
      </c>
      <c r="B209" s="93">
        <v>-2</v>
      </c>
      <c r="C209" s="93" t="s">
        <v>848</v>
      </c>
      <c r="D209" s="94">
        <v>78740.2</v>
      </c>
      <c r="E209" s="95">
        <f>VLOOKUP(A209,'Balancete 2014'!A:D,4,0)</f>
        <v>1158893.1399999999</v>
      </c>
      <c r="I209" s="95">
        <v>628925.89</v>
      </c>
      <c r="J209" s="99">
        <f t="shared" si="2"/>
        <v>-1080152.94</v>
      </c>
    </row>
    <row r="210" spans="1:14">
      <c r="A210" s="92" t="s">
        <v>525</v>
      </c>
      <c r="B210" s="93">
        <v>-1</v>
      </c>
      <c r="C210" s="93" t="s">
        <v>526</v>
      </c>
      <c r="D210" s="94">
        <v>14343.75</v>
      </c>
      <c r="E210" s="95">
        <f>VLOOKUP(A210,'Balancete 2014'!A:D,4,0)</f>
        <v>73439.63</v>
      </c>
      <c r="I210" s="95" t="e">
        <v>#N/A</v>
      </c>
      <c r="J210" s="99">
        <f t="shared" si="2"/>
        <v>-59095.880000000005</v>
      </c>
    </row>
    <row r="211" spans="1:14">
      <c r="A211" s="92" t="s">
        <v>527</v>
      </c>
      <c r="B211" s="93">
        <v>-9</v>
      </c>
      <c r="C211" s="93" t="s">
        <v>849</v>
      </c>
      <c r="D211" s="94">
        <v>14343.75</v>
      </c>
      <c r="E211" s="95">
        <f>VLOOKUP(A211,'Balancete 2014'!A:D,4,0)</f>
        <v>73439.63</v>
      </c>
      <c r="I211" s="95" t="e">
        <v>#N/A</v>
      </c>
      <c r="J211" s="99">
        <f t="shared" ref="J211:J270" si="3">+D211-E211</f>
        <v>-59095.880000000005</v>
      </c>
    </row>
    <row r="212" spans="1:14">
      <c r="A212" s="92" t="s">
        <v>529</v>
      </c>
      <c r="B212" s="93">
        <v>-5</v>
      </c>
      <c r="C212" s="93" t="s">
        <v>850</v>
      </c>
      <c r="D212" s="94">
        <v>14343.75</v>
      </c>
      <c r="E212" s="95">
        <f>VLOOKUP(A212,'Balancete 2014'!A:D,4,0)</f>
        <v>73439.63</v>
      </c>
      <c r="I212" s="95" t="e">
        <v>#N/A</v>
      </c>
      <c r="J212" s="99">
        <f t="shared" si="3"/>
        <v>-59095.880000000005</v>
      </c>
    </row>
    <row r="213" spans="1:14">
      <c r="A213" s="92" t="s">
        <v>326</v>
      </c>
      <c r="B213" s="93">
        <v>-5</v>
      </c>
      <c r="C213" s="93" t="s">
        <v>531</v>
      </c>
      <c r="D213" s="94">
        <v>264045421.75</v>
      </c>
      <c r="E213" s="95">
        <f>VLOOKUP(A213,'Balancete 2014'!A:D,4,0)</f>
        <v>273845796.85000002</v>
      </c>
      <c r="I213" s="95">
        <v>210200993.34</v>
      </c>
      <c r="J213" s="99">
        <f t="shared" si="3"/>
        <v>-9800375.1000000238</v>
      </c>
    </row>
    <row r="214" spans="1:14">
      <c r="A214" s="92" t="s">
        <v>166</v>
      </c>
      <c r="B214" s="93">
        <v>-1</v>
      </c>
      <c r="C214" s="93" t="s">
        <v>167</v>
      </c>
      <c r="D214" s="94">
        <v>264045421.75</v>
      </c>
      <c r="E214" s="95">
        <f>VLOOKUP(A214,'Balancete 2014'!A:D,4,0)</f>
        <v>273845796.85000002</v>
      </c>
      <c r="I214" s="95">
        <v>210200993.34</v>
      </c>
      <c r="J214" s="99">
        <f t="shared" si="3"/>
        <v>-9800375.1000000238</v>
      </c>
      <c r="L214" s="113" t="s">
        <v>324</v>
      </c>
      <c r="M214" s="114">
        <v>6497213.3200000003</v>
      </c>
      <c r="N214" s="115">
        <v>10457005.579999998</v>
      </c>
    </row>
    <row r="215" spans="1:14">
      <c r="A215" s="92" t="s">
        <v>168</v>
      </c>
      <c r="B215" s="93">
        <v>0</v>
      </c>
      <c r="C215" s="93" t="s">
        <v>909</v>
      </c>
      <c r="D215" s="94">
        <v>203144782.16</v>
      </c>
      <c r="E215" s="95">
        <f>VLOOKUP(A215,'Balancete 2014'!A:D,4,0)</f>
        <v>210684754.06999999</v>
      </c>
      <c r="I215" s="95">
        <v>161719278.13</v>
      </c>
      <c r="J215" s="99">
        <f t="shared" si="3"/>
        <v>-7539971.9099999964</v>
      </c>
      <c r="L215" s="116" t="s">
        <v>525</v>
      </c>
      <c r="M215" s="117">
        <v>14343.75</v>
      </c>
      <c r="N215" s="118">
        <v>73439.63</v>
      </c>
    </row>
    <row r="216" spans="1:14">
      <c r="A216" s="92" t="s">
        <v>169</v>
      </c>
      <c r="B216" s="93">
        <v>-8</v>
      </c>
      <c r="C216" s="93" t="s">
        <v>910</v>
      </c>
      <c r="D216" s="94">
        <v>60900639.590000004</v>
      </c>
      <c r="E216" s="95">
        <f>VLOOKUP(A216,'Balancete 2014'!A:D,4,0)</f>
        <v>63161042.780000001</v>
      </c>
      <c r="I216" s="95">
        <v>48481715.210000001</v>
      </c>
      <c r="J216" s="99">
        <f t="shared" si="3"/>
        <v>-2260403.1899999976</v>
      </c>
      <c r="L216" s="116" t="s">
        <v>325</v>
      </c>
      <c r="M216" s="117">
        <v>420610465.74000001</v>
      </c>
      <c r="N216" s="118">
        <v>3109197.9199999995</v>
      </c>
    </row>
    <row r="217" spans="1:14">
      <c r="A217" s="92" t="s">
        <v>325</v>
      </c>
      <c r="B217" s="93">
        <v>-5</v>
      </c>
      <c r="C217" s="93" t="s">
        <v>170</v>
      </c>
      <c r="D217" s="94">
        <v>420610465.74000001</v>
      </c>
      <c r="E217" s="95">
        <f>VLOOKUP(A217,'Balancete 2014'!A:D,4,0)</f>
        <v>5706735.5599999996</v>
      </c>
      <c r="I217" s="95">
        <v>2597537.64</v>
      </c>
      <c r="J217" s="99">
        <f t="shared" si="3"/>
        <v>414903730.18000001</v>
      </c>
      <c r="L217" s="116"/>
      <c r="M217" s="117">
        <f>(+M216+M215+M214)/1000</f>
        <v>427122.02280999999</v>
      </c>
      <c r="N217" s="118">
        <v>13639643.129999997</v>
      </c>
    </row>
    <row r="218" spans="1:14">
      <c r="A218" s="92" t="s">
        <v>171</v>
      </c>
      <c r="B218" s="93">
        <v>-6</v>
      </c>
      <c r="C218" s="93" t="s">
        <v>172</v>
      </c>
      <c r="D218" s="94">
        <v>754994.43</v>
      </c>
      <c r="E218" s="95">
        <f>VLOOKUP(A218,'Balancete 2014'!A:D,4,0)</f>
        <v>428928.08</v>
      </c>
      <c r="I218" s="95">
        <v>369395.76</v>
      </c>
      <c r="J218" s="99">
        <f t="shared" si="3"/>
        <v>326066.35000000003</v>
      </c>
      <c r="L218" s="116"/>
      <c r="M218" s="119"/>
      <c r="N218" s="120">
        <v>13640</v>
      </c>
    </row>
    <row r="219" spans="1:14">
      <c r="A219" s="92" t="s">
        <v>173</v>
      </c>
      <c r="B219" s="93">
        <v>-8</v>
      </c>
      <c r="C219" s="93" t="s">
        <v>851</v>
      </c>
      <c r="D219" s="94">
        <v>754994.43</v>
      </c>
      <c r="E219" s="95">
        <f>VLOOKUP(A219,'Balancete 2014'!A:D,4,0)</f>
        <v>428928.08</v>
      </c>
      <c r="I219" s="95">
        <v>369395.76</v>
      </c>
      <c r="J219" s="99">
        <f t="shared" si="3"/>
        <v>326066.35000000003</v>
      </c>
      <c r="L219" s="116">
        <v>49985</v>
      </c>
      <c r="M219" s="117">
        <v>5401650.9000000004</v>
      </c>
      <c r="N219" s="120"/>
    </row>
    <row r="220" spans="1:14">
      <c r="A220" s="92" t="s">
        <v>535</v>
      </c>
      <c r="B220" s="93">
        <v>-6</v>
      </c>
      <c r="C220" s="93" t="s">
        <v>852</v>
      </c>
      <c r="D220" s="94">
        <v>150327.41</v>
      </c>
      <c r="E220" s="95" t="e">
        <f>VLOOKUP(A220,'Balancete 2014'!A:D,4,0)</f>
        <v>#N/A</v>
      </c>
      <c r="I220" s="95" t="e">
        <v>#N/A</v>
      </c>
      <c r="J220" s="99" t="e">
        <f t="shared" si="3"/>
        <v>#N/A</v>
      </c>
      <c r="L220" s="116"/>
      <c r="M220" s="119">
        <f>+M219/1000</f>
        <v>5401.6509000000005</v>
      </c>
      <c r="N220" s="120"/>
    </row>
    <row r="221" spans="1:14">
      <c r="A221" s="92" t="s">
        <v>537</v>
      </c>
      <c r="B221" s="93">
        <v>-4</v>
      </c>
      <c r="C221" s="93" t="s">
        <v>853</v>
      </c>
      <c r="D221" s="94">
        <v>18039.29</v>
      </c>
      <c r="E221" s="95" t="e">
        <f>VLOOKUP(A221,'Balancete 2014'!A:D,4,0)</f>
        <v>#N/A</v>
      </c>
      <c r="I221" s="95" t="e">
        <v>#N/A</v>
      </c>
      <c r="J221" s="99" t="e">
        <f t="shared" si="3"/>
        <v>#N/A</v>
      </c>
      <c r="L221" s="121"/>
      <c r="M221" s="122">
        <f>+M217-M220</f>
        <v>421720.37190999999</v>
      </c>
      <c r="N221" s="123"/>
    </row>
    <row r="222" spans="1:14">
      <c r="A222" s="92" t="s">
        <v>539</v>
      </c>
      <c r="B222" s="93">
        <v>-2</v>
      </c>
      <c r="C222" s="93" t="s">
        <v>854</v>
      </c>
      <c r="D222" s="94">
        <v>12026.19</v>
      </c>
      <c r="E222" s="95" t="e">
        <f>VLOOKUP(A222,'Balancete 2014'!A:D,4,0)</f>
        <v>#N/A</v>
      </c>
      <c r="I222" s="95" t="e">
        <v>#N/A</v>
      </c>
      <c r="J222" s="99" t="e">
        <f t="shared" si="3"/>
        <v>#N/A</v>
      </c>
    </row>
    <row r="223" spans="1:14">
      <c r="A223" s="92" t="s">
        <v>541</v>
      </c>
      <c r="B223" s="93">
        <v>0</v>
      </c>
      <c r="C223" s="93" t="s">
        <v>855</v>
      </c>
      <c r="D223" s="94">
        <v>30065.48</v>
      </c>
      <c r="E223" s="95" t="e">
        <f>VLOOKUP(A223,'Balancete 2014'!A:D,4,0)</f>
        <v>#N/A</v>
      </c>
      <c r="I223" s="95" t="e">
        <v>#N/A</v>
      </c>
      <c r="J223" s="99" t="e">
        <f t="shared" si="3"/>
        <v>#N/A</v>
      </c>
    </row>
    <row r="224" spans="1:14">
      <c r="A224" s="92" t="s">
        <v>174</v>
      </c>
      <c r="B224" s="93">
        <v>-9</v>
      </c>
      <c r="C224" s="93" t="s">
        <v>856</v>
      </c>
      <c r="D224" s="94">
        <v>381563.02</v>
      </c>
      <c r="E224" s="95">
        <f>VLOOKUP(A224,'Balancete 2014'!A:D,4,0)</f>
        <v>316779.36</v>
      </c>
      <c r="I224" s="95">
        <v>285988.15000000002</v>
      </c>
      <c r="J224" s="99">
        <f t="shared" si="3"/>
        <v>64783.660000000033</v>
      </c>
    </row>
    <row r="225" spans="1:10">
      <c r="A225" s="92" t="s">
        <v>175</v>
      </c>
      <c r="B225" s="93">
        <v>-7</v>
      </c>
      <c r="C225" s="93" t="s">
        <v>857</v>
      </c>
      <c r="D225" s="94">
        <v>122733.11</v>
      </c>
      <c r="E225" s="95">
        <f>VLOOKUP(A225,'Balancete 2014'!A:D,4,0)</f>
        <v>87985.26</v>
      </c>
      <c r="I225" s="95">
        <v>59244.15</v>
      </c>
      <c r="J225" s="99">
        <f t="shared" si="3"/>
        <v>34747.850000000006</v>
      </c>
    </row>
    <row r="226" spans="1:10">
      <c r="A226" s="92" t="s">
        <v>176</v>
      </c>
      <c r="B226" s="93">
        <v>-5</v>
      </c>
      <c r="C226" s="93" t="s">
        <v>858</v>
      </c>
      <c r="D226" s="94">
        <v>40239.93</v>
      </c>
      <c r="E226" s="95">
        <f>VLOOKUP(A226,'Balancete 2014'!A:D,4,0)</f>
        <v>24163.46</v>
      </c>
      <c r="I226" s="95">
        <v>24163.46</v>
      </c>
      <c r="J226" s="99">
        <f t="shared" si="3"/>
        <v>16076.470000000001</v>
      </c>
    </row>
    <row r="227" spans="1:10">
      <c r="A227" s="92" t="s">
        <v>546</v>
      </c>
      <c r="B227" s="93">
        <v>-7</v>
      </c>
      <c r="C227" s="93" t="s">
        <v>547</v>
      </c>
      <c r="D227" s="94">
        <v>5401650.9000000004</v>
      </c>
      <c r="E227" s="95">
        <f>VLOOKUP(A227,'Balancete 2014'!A:D,4,0)</f>
        <v>2013542.19</v>
      </c>
      <c r="I227" s="95" t="e">
        <v>#N/A</v>
      </c>
      <c r="J227" s="99">
        <f t="shared" si="3"/>
        <v>3388108.7100000004</v>
      </c>
    </row>
    <row r="228" spans="1:10">
      <c r="A228" s="92" t="s">
        <v>548</v>
      </c>
      <c r="B228" s="93">
        <v>-2</v>
      </c>
      <c r="C228" s="93" t="s">
        <v>547</v>
      </c>
      <c r="D228" s="94">
        <v>5401650.9000000004</v>
      </c>
      <c r="E228" s="95">
        <f>VLOOKUP(A228,'Balancete 2014'!A:D,4,0)</f>
        <v>2013542.19</v>
      </c>
      <c r="I228" s="95" t="e">
        <v>#N/A</v>
      </c>
      <c r="J228" s="99">
        <f t="shared" si="3"/>
        <v>3388108.7100000004</v>
      </c>
    </row>
    <row r="229" spans="1:10">
      <c r="A229" s="92" t="s">
        <v>549</v>
      </c>
      <c r="B229" s="93">
        <v>-7</v>
      </c>
      <c r="C229" s="93" t="s">
        <v>911</v>
      </c>
      <c r="D229" s="94">
        <v>5401650.9000000004</v>
      </c>
      <c r="E229" s="95">
        <f>VLOOKUP(A229,'Balancete 2014'!A:D,4,0)</f>
        <v>2013542.19</v>
      </c>
      <c r="I229" s="95" t="e">
        <v>#N/A</v>
      </c>
      <c r="J229" s="99">
        <f t="shared" si="3"/>
        <v>3388108.7100000004</v>
      </c>
    </row>
    <row r="230" spans="1:10">
      <c r="A230" s="92" t="s">
        <v>177</v>
      </c>
      <c r="B230" s="93">
        <v>-7</v>
      </c>
      <c r="C230" s="93" t="s">
        <v>178</v>
      </c>
      <c r="D230" s="94">
        <v>414453820.41000003</v>
      </c>
      <c r="E230" s="95">
        <f>VLOOKUP(A230,'Balancete 2014'!A:D,4,0)</f>
        <v>3264265.29</v>
      </c>
      <c r="I230" s="95">
        <v>2228141.88</v>
      </c>
      <c r="J230" s="99">
        <f t="shared" si="3"/>
        <v>411189555.12</v>
      </c>
    </row>
    <row r="231" spans="1:10">
      <c r="A231" s="92" t="s">
        <v>179</v>
      </c>
      <c r="B231" s="93">
        <v>0</v>
      </c>
      <c r="C231" s="93" t="s">
        <v>859</v>
      </c>
      <c r="D231" s="94">
        <v>414453820.41000003</v>
      </c>
      <c r="E231" s="95">
        <f>VLOOKUP(A231,'Balancete 2014'!A:D,4,0)</f>
        <v>3264265.29</v>
      </c>
      <c r="I231" s="95">
        <v>2228141.88</v>
      </c>
      <c r="J231" s="99">
        <f t="shared" si="3"/>
        <v>411189555.12</v>
      </c>
    </row>
    <row r="232" spans="1:10">
      <c r="A232" s="92" t="s">
        <v>180</v>
      </c>
      <c r="B232" s="93">
        <v>-9</v>
      </c>
      <c r="C232" s="93" t="s">
        <v>860</v>
      </c>
      <c r="D232" s="94">
        <v>158144.85</v>
      </c>
      <c r="E232" s="95">
        <f>VLOOKUP(A232,'Balancete 2014'!A:D,4,0)</f>
        <v>242178.11</v>
      </c>
      <c r="I232" s="95">
        <v>212083.94</v>
      </c>
      <c r="J232" s="99">
        <f t="shared" si="3"/>
        <v>-84033.25999999998</v>
      </c>
    </row>
    <row r="233" spans="1:10">
      <c r="A233" s="92" t="s">
        <v>181</v>
      </c>
      <c r="B233" s="93">
        <v>-7</v>
      </c>
      <c r="C233" s="93" t="s">
        <v>861</v>
      </c>
      <c r="D233" s="94">
        <v>603309.75</v>
      </c>
      <c r="E233" s="95">
        <f>VLOOKUP(A233,'Balancete 2014'!A:D,4,0)</f>
        <v>490420.18</v>
      </c>
      <c r="I233" s="95">
        <v>402106.93</v>
      </c>
      <c r="J233" s="99">
        <f t="shared" si="3"/>
        <v>112889.57</v>
      </c>
    </row>
    <row r="234" spans="1:10">
      <c r="A234" s="92" t="s">
        <v>182</v>
      </c>
      <c r="B234" s="93">
        <v>-5</v>
      </c>
      <c r="C234" s="93" t="s">
        <v>862</v>
      </c>
      <c r="D234" s="94">
        <v>257232.21</v>
      </c>
      <c r="E234" s="95">
        <f>VLOOKUP(A234,'Balancete 2014'!A:D,4,0)</f>
        <v>31248.01</v>
      </c>
      <c r="I234" s="95">
        <v>22394.38</v>
      </c>
      <c r="J234" s="99">
        <f t="shared" si="3"/>
        <v>225984.19999999998</v>
      </c>
    </row>
    <row r="235" spans="1:10">
      <c r="A235" s="92" t="s">
        <v>183</v>
      </c>
      <c r="B235" s="93">
        <v>-1</v>
      </c>
      <c r="C235" s="93" t="s">
        <v>863</v>
      </c>
      <c r="D235" s="94">
        <v>3368739.93</v>
      </c>
      <c r="E235" s="95">
        <f>VLOOKUP(A235,'Balancete 2014'!A:D,4,0)</f>
        <v>2500418.9900000002</v>
      </c>
      <c r="I235" s="95">
        <v>1591556.63</v>
      </c>
      <c r="J235" s="99">
        <f t="shared" si="3"/>
        <v>868320.94</v>
      </c>
    </row>
    <row r="236" spans="1:10">
      <c r="A236" s="92" t="s">
        <v>779</v>
      </c>
      <c r="B236" s="93">
        <v>0</v>
      </c>
      <c r="C236" s="93" t="s">
        <v>780</v>
      </c>
      <c r="D236" s="94">
        <v>374491746.10000002</v>
      </c>
      <c r="E236" s="95" t="e">
        <f>VLOOKUP(A236,'Balancete 2014'!A:D,4,0)</f>
        <v>#N/A</v>
      </c>
      <c r="I236" s="95" t="e">
        <v>#N/A</v>
      </c>
      <c r="J236" s="99" t="e">
        <f t="shared" si="3"/>
        <v>#N/A</v>
      </c>
    </row>
    <row r="237" spans="1:10">
      <c r="A237" s="92" t="s">
        <v>781</v>
      </c>
      <c r="B237" s="93">
        <v>-8</v>
      </c>
      <c r="C237" s="93" t="s">
        <v>782</v>
      </c>
      <c r="D237" s="94">
        <v>35574647.57</v>
      </c>
      <c r="E237" s="95" t="e">
        <f>VLOOKUP(A237,'Balancete 2014'!A:D,4,0)</f>
        <v>#N/A</v>
      </c>
      <c r="I237" s="95" t="e">
        <v>#N/A</v>
      </c>
      <c r="J237" s="99" t="e">
        <f t="shared" si="3"/>
        <v>#N/A</v>
      </c>
    </row>
    <row r="238" spans="1:10">
      <c r="A238" s="92">
        <v>6</v>
      </c>
      <c r="B238" s="93">
        <v>-9</v>
      </c>
      <c r="C238" s="93" t="s">
        <v>184</v>
      </c>
      <c r="D238" s="94">
        <f>2870078240.09+3465052.39+49376996.51</f>
        <v>2922920288.9900002</v>
      </c>
      <c r="E238" s="95">
        <f>VLOOKUP(A238,'Balancete 2014'!A:D,4,0)</f>
        <v>4858695773.04</v>
      </c>
      <c r="I238" s="95">
        <v>3736089610.29</v>
      </c>
      <c r="J238" s="99">
        <f t="shared" si="3"/>
        <v>-1935775484.0499997</v>
      </c>
    </row>
    <row r="239" spans="1:10">
      <c r="A239" s="92" t="s">
        <v>185</v>
      </c>
      <c r="B239" s="93">
        <v>-6</v>
      </c>
      <c r="C239" s="93" t="s">
        <v>184</v>
      </c>
      <c r="D239" s="94">
        <f>2870078240.09+3465052.39+49376996.51</f>
        <v>2922920288.9900002</v>
      </c>
      <c r="E239" s="95">
        <f>VLOOKUP(A239,'Balancete 2014'!A:D,4,0)</f>
        <v>4858695773.04</v>
      </c>
      <c r="I239" s="95">
        <v>3736089610.29</v>
      </c>
      <c r="J239" s="99">
        <f t="shared" si="3"/>
        <v>-1935775484.0499997</v>
      </c>
    </row>
    <row r="240" spans="1:10">
      <c r="A240" s="92" t="s">
        <v>186</v>
      </c>
      <c r="B240" s="93">
        <v>-4</v>
      </c>
      <c r="C240" s="93" t="s">
        <v>187</v>
      </c>
      <c r="D240" s="94">
        <v>1201232664.8199999</v>
      </c>
      <c r="E240" s="95">
        <f>VLOOKUP(A240,'Balancete 2014'!A:D,4,0)</f>
        <v>4000000000</v>
      </c>
      <c r="I240" s="95">
        <v>3219334938.7199998</v>
      </c>
      <c r="J240" s="99">
        <f t="shared" si="3"/>
        <v>-2798767335.1800003</v>
      </c>
    </row>
    <row r="241" spans="1:12">
      <c r="A241" s="92" t="s">
        <v>327</v>
      </c>
      <c r="B241" s="93">
        <v>-8</v>
      </c>
      <c r="C241" s="93" t="s">
        <v>188</v>
      </c>
      <c r="D241" s="94">
        <v>4000000000</v>
      </c>
      <c r="E241" s="95">
        <f>VLOOKUP(A241,'Balancete 2014'!A:D,4,0)</f>
        <v>4000000000</v>
      </c>
      <c r="I241" s="95">
        <v>4000000000</v>
      </c>
      <c r="J241" s="99">
        <f t="shared" si="3"/>
        <v>0</v>
      </c>
    </row>
    <row r="242" spans="1:12">
      <c r="A242" s="92" t="s">
        <v>189</v>
      </c>
      <c r="B242" s="93">
        <v>-3</v>
      </c>
      <c r="C242" s="93" t="s">
        <v>190</v>
      </c>
      <c r="D242" s="94">
        <v>4000000000</v>
      </c>
      <c r="E242" s="95">
        <f>VLOOKUP(A242,'Balancete 2014'!A:D,4,0)</f>
        <v>4000000000</v>
      </c>
      <c r="I242" s="95">
        <v>4000000000</v>
      </c>
      <c r="J242" s="99">
        <f t="shared" si="3"/>
        <v>0</v>
      </c>
    </row>
    <row r="243" spans="1:12">
      <c r="A243" s="92" t="s">
        <v>191</v>
      </c>
      <c r="B243" s="93">
        <v>-3</v>
      </c>
      <c r="C243" s="93" t="s">
        <v>188</v>
      </c>
      <c r="D243" s="94">
        <v>4000000000</v>
      </c>
      <c r="E243" s="95">
        <f>VLOOKUP(A243,'Balancete 2014'!A:D,4,0)</f>
        <v>4000000000</v>
      </c>
      <c r="I243" s="95">
        <v>4000000000</v>
      </c>
      <c r="J243" s="99">
        <f t="shared" si="3"/>
        <v>0</v>
      </c>
    </row>
    <row r="244" spans="1:12">
      <c r="A244" s="92" t="s">
        <v>328</v>
      </c>
      <c r="B244" s="93">
        <v>-2</v>
      </c>
      <c r="C244" s="93" t="s">
        <v>192</v>
      </c>
      <c r="D244" s="94">
        <v>-2798767335.1799998</v>
      </c>
      <c r="E244" s="95">
        <v>0</v>
      </c>
      <c r="I244" s="95">
        <v>-780665061.27999997</v>
      </c>
      <c r="J244" s="99">
        <f t="shared" si="3"/>
        <v>-2798767335.1799998</v>
      </c>
    </row>
    <row r="245" spans="1:12">
      <c r="A245" s="92" t="s">
        <v>193</v>
      </c>
      <c r="B245" s="93">
        <v>-8</v>
      </c>
      <c r="C245" s="93" t="s">
        <v>194</v>
      </c>
      <c r="D245" s="94">
        <v>-2798767335.1799998</v>
      </c>
      <c r="E245" s="95">
        <v>0</v>
      </c>
      <c r="I245" s="95">
        <v>-780665061.27999997</v>
      </c>
      <c r="J245" s="99">
        <f t="shared" si="3"/>
        <v>-2798767335.1799998</v>
      </c>
    </row>
    <row r="246" spans="1:12">
      <c r="A246" s="92" t="s">
        <v>195</v>
      </c>
      <c r="B246" s="93">
        <v>-2</v>
      </c>
      <c r="C246" s="93" t="s">
        <v>912</v>
      </c>
      <c r="D246" s="94">
        <v>-2798767335.1799998</v>
      </c>
      <c r="E246" s="95">
        <v>0</v>
      </c>
      <c r="I246" s="95">
        <v>-780665061.27999997</v>
      </c>
      <c r="J246" s="99">
        <f t="shared" si="3"/>
        <v>-2798767335.1799998</v>
      </c>
    </row>
    <row r="247" spans="1:12">
      <c r="A247" s="92" t="s">
        <v>330</v>
      </c>
      <c r="B247" s="93">
        <v>-7</v>
      </c>
      <c r="C247" s="93" t="s">
        <v>196</v>
      </c>
      <c r="D247" s="94">
        <f>+D248+D251</f>
        <v>1411355636.9499998</v>
      </c>
      <c r="E247" s="95">
        <f>VLOOKUP(A247,'Balancete 2014'!A:D,4,0)</f>
        <v>1358513588.05</v>
      </c>
      <c r="I247" s="95">
        <v>907551344.15999997</v>
      </c>
      <c r="J247" s="99">
        <f t="shared" si="3"/>
        <v>52842048.899999857</v>
      </c>
    </row>
    <row r="248" spans="1:12">
      <c r="A248" s="92" t="s">
        <v>197</v>
      </c>
      <c r="B248" s="93">
        <v>0</v>
      </c>
      <c r="C248" s="93" t="s">
        <v>198</v>
      </c>
      <c r="D248" s="94">
        <f>144135793.43+3465052.39</f>
        <v>147600845.81999999</v>
      </c>
      <c r="E248" s="95">
        <f>VLOOKUP(A248,'Balancete 2014'!A:D,4,0)</f>
        <v>144135793.43000001</v>
      </c>
      <c r="I248" s="95">
        <v>102717609.48</v>
      </c>
      <c r="J248" s="99">
        <f t="shared" si="3"/>
        <v>3465052.3899999857</v>
      </c>
      <c r="K248" s="100">
        <f>+E248-I248</f>
        <v>41418183.950000003</v>
      </c>
    </row>
    <row r="249" spans="1:12">
      <c r="A249" s="92" t="s">
        <v>199</v>
      </c>
      <c r="B249" s="93">
        <v>-1</v>
      </c>
      <c r="C249" s="93" t="s">
        <v>198</v>
      </c>
      <c r="D249" s="94">
        <f>144135793.43+3465052.39</f>
        <v>147600845.81999999</v>
      </c>
      <c r="E249" s="95">
        <f>VLOOKUP(A249,'Balancete 2014'!A:D,4,0)</f>
        <v>144135793.43000001</v>
      </c>
      <c r="I249" s="95">
        <v>102717609.48</v>
      </c>
      <c r="J249" s="99">
        <f t="shared" si="3"/>
        <v>3465052.3899999857</v>
      </c>
    </row>
    <row r="250" spans="1:12">
      <c r="A250" s="92" t="s">
        <v>200</v>
      </c>
      <c r="B250" s="93">
        <v>0</v>
      </c>
      <c r="C250" s="93" t="s">
        <v>198</v>
      </c>
      <c r="D250" s="94">
        <f>144135793.43+3465052.39</f>
        <v>147600845.81999999</v>
      </c>
      <c r="E250" s="95">
        <f>VLOOKUP(A250,'Balancete 2014'!A:D,4,0)</f>
        <v>144135793.43000001</v>
      </c>
      <c r="I250" s="95">
        <v>102717609.48</v>
      </c>
      <c r="J250" s="99">
        <f t="shared" si="3"/>
        <v>3465052.3899999857</v>
      </c>
    </row>
    <row r="251" spans="1:12">
      <c r="A251" s="92" t="s">
        <v>201</v>
      </c>
      <c r="B251" s="93">
        <v>-4</v>
      </c>
      <c r="C251" s="93" t="s">
        <v>202</v>
      </c>
      <c r="D251" s="94">
        <f>1214377794.61+49376996.52</f>
        <v>1263754791.1299999</v>
      </c>
      <c r="E251" s="95">
        <f>VLOOKUP(A251,'Balancete 2014'!A:D,4,0)</f>
        <v>1214377794.6199999</v>
      </c>
      <c r="I251" s="95">
        <v>804833734.67999995</v>
      </c>
      <c r="J251" s="99">
        <f t="shared" si="3"/>
        <v>49376996.50999999</v>
      </c>
      <c r="L251" s="93">
        <v>49376996.521874987</v>
      </c>
    </row>
    <row r="252" spans="1:12">
      <c r="A252" s="92" t="s">
        <v>203</v>
      </c>
      <c r="B252" s="93">
        <v>0</v>
      </c>
      <c r="C252" s="93" t="s">
        <v>202</v>
      </c>
      <c r="D252" s="94">
        <f>1214377794.61+49376996.52</f>
        <v>1263754791.1299999</v>
      </c>
      <c r="E252" s="95">
        <f>VLOOKUP(A252,'Balancete 2014'!A:D,4,0)</f>
        <v>1214377794.6199999</v>
      </c>
      <c r="I252" s="95">
        <v>804833734.67999995</v>
      </c>
      <c r="J252" s="99">
        <f t="shared" si="3"/>
        <v>49376996.50999999</v>
      </c>
    </row>
    <row r="253" spans="1:12">
      <c r="A253" s="92" t="s">
        <v>204</v>
      </c>
      <c r="B253" s="93">
        <v>-4</v>
      </c>
      <c r="C253" s="93" t="s">
        <v>913</v>
      </c>
      <c r="D253" s="94">
        <f>1214377794.61+49376996.52</f>
        <v>1263754791.1299999</v>
      </c>
      <c r="E253" s="95">
        <f>VLOOKUP(A253,'Balancete 2014'!A:D,4,0)</f>
        <v>1214377794.6199999</v>
      </c>
      <c r="I253" s="95">
        <v>804833734.67999995</v>
      </c>
      <c r="J253" s="99">
        <f t="shared" si="3"/>
        <v>49376996.50999999</v>
      </c>
      <c r="L253" s="100">
        <f>+E240+E247+E254</f>
        <v>5686892192.3900003</v>
      </c>
    </row>
    <row r="254" spans="1:12">
      <c r="A254" s="92" t="s">
        <v>329</v>
      </c>
      <c r="B254" s="93">
        <v>-5</v>
      </c>
      <c r="C254" s="93" t="s">
        <v>205</v>
      </c>
      <c r="D254" s="94">
        <v>318888902.85000002</v>
      </c>
      <c r="E254" s="95">
        <f>VLOOKUP(A254,'Balancete 2014'!A:D,4,0)</f>
        <v>328378604.33999997</v>
      </c>
      <c r="I254" s="95">
        <v>201757722.24000001</v>
      </c>
      <c r="J254" s="99">
        <f t="shared" si="3"/>
        <v>-9489701.4899999499</v>
      </c>
      <c r="L254" s="94">
        <f>+L253-D238</f>
        <v>2763971903.4000001</v>
      </c>
    </row>
    <row r="255" spans="1:12">
      <c r="A255" s="92" t="s">
        <v>206</v>
      </c>
      <c r="B255" s="93">
        <v>-9</v>
      </c>
      <c r="C255" s="93" t="s">
        <v>207</v>
      </c>
      <c r="D255" s="94">
        <v>304538972.32999998</v>
      </c>
      <c r="E255" s="95">
        <f>VLOOKUP(A255,'Balancete 2014'!A:D,4,0)</f>
        <v>317398267.26999998</v>
      </c>
      <c r="I255" s="95">
        <v>202437917.15000001</v>
      </c>
      <c r="J255" s="99">
        <f t="shared" si="3"/>
        <v>-12859294.939999998</v>
      </c>
    </row>
    <row r="256" spans="1:12">
      <c r="A256" s="92" t="s">
        <v>208</v>
      </c>
      <c r="B256" s="93">
        <v>-4</v>
      </c>
      <c r="C256" s="93" t="s">
        <v>209</v>
      </c>
      <c r="D256" s="94">
        <v>393734360.75</v>
      </c>
      <c r="E256" s="95">
        <f>VLOOKUP(A256,'Balancete 2014'!A:D,4,0)</f>
        <v>408370776.81</v>
      </c>
      <c r="I256" s="95">
        <v>313925657.55000001</v>
      </c>
      <c r="J256" s="99">
        <f t="shared" si="3"/>
        <v>-14636416.060000002</v>
      </c>
    </row>
    <row r="257" spans="1:12">
      <c r="A257" s="92" t="s">
        <v>210</v>
      </c>
      <c r="B257" s="93">
        <v>-9</v>
      </c>
      <c r="C257" s="93" t="s">
        <v>914</v>
      </c>
      <c r="D257" s="94">
        <v>657374339.66999996</v>
      </c>
      <c r="E257" s="95">
        <f>VLOOKUP(A257,'Balancete 2014'!A:D,4,0)</f>
        <v>681811130.83000004</v>
      </c>
      <c r="I257" s="95">
        <v>524126650.88999999</v>
      </c>
      <c r="J257" s="99">
        <f t="shared" si="3"/>
        <v>-24436791.160000086</v>
      </c>
    </row>
    <row r="258" spans="1:12">
      <c r="A258" s="92" t="s">
        <v>211</v>
      </c>
      <c r="B258" s="93">
        <v>-7</v>
      </c>
      <c r="C258" s="93" t="s">
        <v>915</v>
      </c>
      <c r="D258" s="94">
        <v>-263639978.91999999</v>
      </c>
      <c r="E258" s="95">
        <f>VLOOKUP(A258,'Balancete 2014'!A:D,4,0)</f>
        <v>-273440354.01999998</v>
      </c>
      <c r="I258" s="95">
        <v>-210200993.34</v>
      </c>
      <c r="J258" s="99">
        <f t="shared" si="3"/>
        <v>9800375.099999994</v>
      </c>
    </row>
    <row r="259" spans="1:12">
      <c r="A259" s="92" t="s">
        <v>213</v>
      </c>
      <c r="B259" s="93">
        <v>0</v>
      </c>
      <c r="C259" s="93" t="s">
        <v>864</v>
      </c>
      <c r="D259" s="94">
        <v>-89195388.420000002</v>
      </c>
      <c r="E259" s="95">
        <f>VLOOKUP(A259,'Balancete 2014'!A:D,4,0)</f>
        <v>-90972509.540000007</v>
      </c>
      <c r="I259" s="95">
        <v>-111487740.40000001</v>
      </c>
      <c r="J259" s="99">
        <f t="shared" si="3"/>
        <v>1777121.1200000048</v>
      </c>
    </row>
    <row r="260" spans="1:12">
      <c r="A260" s="92" t="s">
        <v>214</v>
      </c>
      <c r="B260" s="93">
        <v>-1</v>
      </c>
      <c r="C260" s="93" t="s">
        <v>865</v>
      </c>
      <c r="D260" s="94">
        <v>-89195388.420000002</v>
      </c>
      <c r="E260" s="95">
        <f>VLOOKUP(A260,'Balancete 2014'!A:D,4,0)</f>
        <v>-90972509.540000007</v>
      </c>
      <c r="I260" s="95">
        <v>-111487740.40000001</v>
      </c>
      <c r="J260" s="99">
        <f t="shared" si="3"/>
        <v>1777121.1200000048</v>
      </c>
    </row>
    <row r="261" spans="1:12">
      <c r="A261" s="92" t="s">
        <v>297</v>
      </c>
      <c r="B261" s="93">
        <v>-8</v>
      </c>
      <c r="C261" s="93" t="s">
        <v>298</v>
      </c>
      <c r="D261" s="94">
        <v>14349930.52</v>
      </c>
      <c r="E261" s="95">
        <f>VLOOKUP(A261,'Balancete 2014'!A:D,4,0)</f>
        <v>10980337.07</v>
      </c>
      <c r="I261" s="95">
        <v>-680194.91</v>
      </c>
      <c r="J261" s="99">
        <f t="shared" si="3"/>
        <v>3369593.4499999993</v>
      </c>
    </row>
    <row r="262" spans="1:12">
      <c r="A262" s="92" t="s">
        <v>299</v>
      </c>
      <c r="B262" s="93">
        <v>-9</v>
      </c>
      <c r="C262" s="93" t="s">
        <v>298</v>
      </c>
      <c r="D262" s="94">
        <v>14182670.960000001</v>
      </c>
      <c r="E262" s="95">
        <f>VLOOKUP(A262,'Balancete 2014'!A:D,4,0)</f>
        <v>10980337.07</v>
      </c>
      <c r="I262" s="95">
        <v>-680194.91</v>
      </c>
      <c r="J262" s="99">
        <f t="shared" si="3"/>
        <v>3202333.8900000006</v>
      </c>
    </row>
    <row r="263" spans="1:12">
      <c r="A263" s="92" t="s">
        <v>300</v>
      </c>
      <c r="B263" s="93">
        <v>-7</v>
      </c>
      <c r="C263" s="93" t="s">
        <v>916</v>
      </c>
      <c r="D263" s="94">
        <v>14182670.960000001</v>
      </c>
      <c r="E263" s="95">
        <f>VLOOKUP(A263,'Balancete 2014'!A:D,4,0)</f>
        <v>10980337.07</v>
      </c>
      <c r="I263" s="95">
        <v>-680194.91</v>
      </c>
      <c r="J263" s="99">
        <f t="shared" si="3"/>
        <v>3202333.8900000006</v>
      </c>
    </row>
    <row r="264" spans="1:12">
      <c r="A264" s="92" t="s">
        <v>866</v>
      </c>
      <c r="B264" s="93">
        <v>-4</v>
      </c>
      <c r="C264" s="93" t="s">
        <v>867</v>
      </c>
      <c r="D264" s="94">
        <v>167259.56</v>
      </c>
      <c r="E264" s="95" t="e">
        <f>VLOOKUP(A264,'Balancete 2014'!A:D,4,0)</f>
        <v>#N/A</v>
      </c>
      <c r="I264" s="95" t="e">
        <v>#N/A</v>
      </c>
      <c r="J264" s="99" t="e">
        <f t="shared" si="3"/>
        <v>#N/A</v>
      </c>
    </row>
    <row r="265" spans="1:12">
      <c r="A265" s="92" t="s">
        <v>868</v>
      </c>
      <c r="B265" s="93">
        <v>0</v>
      </c>
      <c r="C265" s="93" t="s">
        <v>869</v>
      </c>
      <c r="D265" s="94">
        <v>167259.56</v>
      </c>
      <c r="E265" s="95" t="e">
        <f>VLOOKUP(A265,'Balancete 2014'!A:D,4,0)</f>
        <v>#N/A</v>
      </c>
      <c r="I265" s="95" t="e">
        <v>#N/A</v>
      </c>
      <c r="J265" s="99" t="e">
        <f t="shared" si="3"/>
        <v>#N/A</v>
      </c>
    </row>
    <row r="266" spans="1:12">
      <c r="A266" s="92" t="s">
        <v>680</v>
      </c>
      <c r="B266" s="93">
        <v>-1</v>
      </c>
      <c r="C266" s="93" t="s">
        <v>681</v>
      </c>
      <c r="D266" s="94">
        <v>0</v>
      </c>
      <c r="E266" s="95">
        <f>VLOOKUP(A266,'Balancete 2014'!A:D,4,0)</f>
        <v>-828363678.90999997</v>
      </c>
      <c r="I266" s="95">
        <v>-592721654.38999999</v>
      </c>
      <c r="J266" s="99">
        <f t="shared" si="3"/>
        <v>828363678.90999997</v>
      </c>
    </row>
    <row r="267" spans="1:12">
      <c r="A267" s="92" t="s">
        <v>682</v>
      </c>
      <c r="B267" s="93">
        <v>-5</v>
      </c>
      <c r="C267" s="93" t="s">
        <v>681</v>
      </c>
      <c r="D267" s="94">
        <v>0</v>
      </c>
      <c r="E267" s="95">
        <f>VLOOKUP(A267,'Balancete 2014'!A:D,4,0)</f>
        <v>-828363678.90999997</v>
      </c>
      <c r="I267" s="95">
        <v>-592721654.38999999</v>
      </c>
      <c r="J267" s="99">
        <f t="shared" si="3"/>
        <v>828363678.90999997</v>
      </c>
      <c r="K267" s="93">
        <v>8556915.6199999992</v>
      </c>
    </row>
    <row r="268" spans="1:12">
      <c r="A268" s="92" t="s">
        <v>783</v>
      </c>
      <c r="B268" s="93">
        <v>-7</v>
      </c>
      <c r="C268" s="93" t="s">
        <v>681</v>
      </c>
      <c r="D268" s="94">
        <v>0</v>
      </c>
      <c r="E268" s="95" t="e">
        <f>VLOOKUP(A268,'Balancete 2014'!A:D,4,0)</f>
        <v>#N/A</v>
      </c>
      <c r="I268" s="95" t="e">
        <v>#N/A</v>
      </c>
      <c r="J268" s="99" t="e">
        <f t="shared" si="3"/>
        <v>#N/A</v>
      </c>
    </row>
    <row r="269" spans="1:12" ht="15">
      <c r="A269" s="92" t="s">
        <v>784</v>
      </c>
      <c r="B269" s="93">
        <v>0</v>
      </c>
      <c r="C269" s="93" t="s">
        <v>788</v>
      </c>
      <c r="D269" s="94">
        <v>0</v>
      </c>
      <c r="E269" s="95" t="e">
        <f>VLOOKUP(A269,'Balancete 2014'!A:D,4,0)</f>
        <v>#N/A</v>
      </c>
      <c r="F269" s="151"/>
      <c r="I269" s="95" t="e">
        <v>#N/A</v>
      </c>
      <c r="J269" s="99" t="e">
        <f t="shared" si="3"/>
        <v>#N/A</v>
      </c>
    </row>
    <row r="270" spans="1:12">
      <c r="A270" s="92">
        <v>7</v>
      </c>
      <c r="B270" s="93">
        <v>-5</v>
      </c>
      <c r="C270" s="93" t="s">
        <v>215</v>
      </c>
      <c r="D270" s="94">
        <v>148844775.94999999</v>
      </c>
      <c r="E270" s="95">
        <f>VLOOKUP(A270,'Balancete 2014'!A:D,4,0)</f>
        <v>1074796645.23</v>
      </c>
      <c r="I270" s="95">
        <v>829578704.90999997</v>
      </c>
      <c r="J270" s="99">
        <f t="shared" si="3"/>
        <v>-925951869.27999997</v>
      </c>
      <c r="L270" s="95">
        <v>22893814.34</v>
      </c>
    </row>
    <row r="271" spans="1:12" ht="15">
      <c r="A271" s="92" t="s">
        <v>216</v>
      </c>
      <c r="B271" s="93">
        <v>-2</v>
      </c>
      <c r="C271" s="93" t="s">
        <v>217</v>
      </c>
      <c r="D271" s="94">
        <v>148844775.94999999</v>
      </c>
      <c r="E271" s="95">
        <f>VLOOKUP(A271,'Balancete 2014'!A:D,4,0)</f>
        <v>1074796645.23</v>
      </c>
      <c r="F271" s="151"/>
      <c r="I271" s="95">
        <v>829578704.90999997</v>
      </c>
      <c r="J271" s="99"/>
      <c r="L271" s="95">
        <v>21576708.93</v>
      </c>
    </row>
    <row r="272" spans="1:12">
      <c r="A272" s="92" t="s">
        <v>339</v>
      </c>
      <c r="B272" s="93">
        <v>-5</v>
      </c>
      <c r="C272" s="93" t="s">
        <v>218</v>
      </c>
      <c r="D272" s="94">
        <v>6815871.7300000004</v>
      </c>
      <c r="E272" s="95">
        <f>VLOOKUP(A272,'Balancete 2014'!A:D,4,0)</f>
        <v>9226931.5999999996</v>
      </c>
      <c r="I272" s="95">
        <v>10042533.48</v>
      </c>
      <c r="J272" s="99"/>
      <c r="L272" s="94">
        <f>+D277</f>
        <v>41161085.460000001</v>
      </c>
    </row>
    <row r="273" spans="1:14">
      <c r="A273" s="92" t="s">
        <v>219</v>
      </c>
      <c r="B273" s="93">
        <v>-9</v>
      </c>
      <c r="C273" s="93" t="s">
        <v>220</v>
      </c>
      <c r="D273" s="94">
        <v>6815871.7300000004</v>
      </c>
      <c r="E273" s="95">
        <f>VLOOKUP(A273,'Balancete 2014'!A:D,4,0)</f>
        <v>9226931.5999999996</v>
      </c>
      <c r="I273" s="95">
        <v>10042533.48</v>
      </c>
      <c r="J273" s="99"/>
      <c r="L273" s="94">
        <f>+D284</f>
        <v>1342667.12</v>
      </c>
    </row>
    <row r="274" spans="1:14">
      <c r="A274" s="92" t="s">
        <v>221</v>
      </c>
      <c r="B274" s="93">
        <v>0</v>
      </c>
      <c r="C274" s="93" t="s">
        <v>917</v>
      </c>
      <c r="D274" s="94">
        <v>6815871.7300000004</v>
      </c>
      <c r="E274" s="95">
        <f>VLOOKUP(A274,'Balancete 2014'!A:D,4,0)</f>
        <v>9226931.5999999996</v>
      </c>
      <c r="I274" s="95">
        <v>10042533.48</v>
      </c>
      <c r="J274" s="99"/>
    </row>
    <row r="275" spans="1:14">
      <c r="A275" s="92" t="s">
        <v>223</v>
      </c>
      <c r="B275" s="93">
        <v>-9</v>
      </c>
      <c r="C275" s="93" t="s">
        <v>918</v>
      </c>
      <c r="D275" s="94">
        <v>6815871.7300000004</v>
      </c>
      <c r="E275" s="95">
        <f>VLOOKUP(A275,'Balancete 2014'!A:D,4,0)</f>
        <v>9226931.5999999996</v>
      </c>
      <c r="I275" s="95">
        <v>10042533.48</v>
      </c>
      <c r="J275" s="99"/>
    </row>
    <row r="276" spans="1:14">
      <c r="A276" s="92" t="s">
        <v>340</v>
      </c>
      <c r="B276" s="93">
        <v>-3</v>
      </c>
      <c r="C276" s="93" t="s">
        <v>224</v>
      </c>
      <c r="D276" s="94">
        <v>48508310.380000003</v>
      </c>
      <c r="E276" s="95">
        <f>VLOOKUP(A276,'Balancete 2014'!A:D,4,0)</f>
        <v>82742176.739999995</v>
      </c>
      <c r="I276" s="95">
        <v>15815993.16</v>
      </c>
      <c r="J276" s="99"/>
    </row>
    <row r="277" spans="1:14">
      <c r="A277" s="92" t="s">
        <v>225</v>
      </c>
      <c r="B277" s="93">
        <v>-7</v>
      </c>
      <c r="C277" s="93" t="s">
        <v>226</v>
      </c>
      <c r="D277" s="94">
        <v>41161085.460000001</v>
      </c>
      <c r="E277" s="95">
        <f>VLOOKUP(A277,'Balancete 2014'!A:D,4,0)</f>
        <v>34524345.469999999</v>
      </c>
      <c r="I277" s="95">
        <v>15815993.16</v>
      </c>
      <c r="J277" s="99"/>
      <c r="N277" s="95"/>
    </row>
    <row r="278" spans="1:14">
      <c r="A278" s="92" t="s">
        <v>227</v>
      </c>
      <c r="B278" s="93">
        <v>-5</v>
      </c>
      <c r="C278" s="93" t="s">
        <v>870</v>
      </c>
      <c r="D278" s="94">
        <v>41161085.460000001</v>
      </c>
      <c r="E278" s="95">
        <f>VLOOKUP(A278,'Balancete 2014'!A:D,4,0)</f>
        <v>34524345.469999999</v>
      </c>
      <c r="I278" s="95">
        <v>15815993.16</v>
      </c>
      <c r="J278" s="99"/>
      <c r="N278" s="95"/>
    </row>
    <row r="279" spans="1:14">
      <c r="A279" s="92" t="s">
        <v>228</v>
      </c>
      <c r="B279" s="93">
        <v>-3</v>
      </c>
      <c r="C279" s="93" t="s">
        <v>871</v>
      </c>
      <c r="D279" s="94">
        <v>41161085.460000001</v>
      </c>
      <c r="E279" s="95">
        <f>VLOOKUP(A279,'Balancete 2014'!A:D,4,0)</f>
        <v>34524345.469999999</v>
      </c>
      <c r="I279" s="95">
        <v>15815993.16</v>
      </c>
      <c r="J279" s="99"/>
    </row>
    <row r="280" spans="1:14">
      <c r="A280" s="92" t="s">
        <v>567</v>
      </c>
      <c r="B280" s="93">
        <v>0</v>
      </c>
      <c r="C280" s="93" t="s">
        <v>568</v>
      </c>
      <c r="D280" s="94">
        <v>6004557.7999999998</v>
      </c>
      <c r="E280" s="95">
        <f>VLOOKUP(A280,'Balancete 2014'!A:D,4,0)</f>
        <v>24203959.329999998</v>
      </c>
      <c r="I280" s="95" t="e">
        <v>#N/A</v>
      </c>
      <c r="J280" s="99"/>
    </row>
    <row r="281" spans="1:14">
      <c r="A281" s="92" t="s">
        <v>569</v>
      </c>
      <c r="B281" s="93">
        <v>-9</v>
      </c>
      <c r="C281" s="93" t="s">
        <v>919</v>
      </c>
      <c r="D281" s="94">
        <v>6004557.7999999998</v>
      </c>
      <c r="E281" s="95">
        <f>VLOOKUP(A281,'Balancete 2014'!A:D,4,0)</f>
        <v>24203959.329999998</v>
      </c>
      <c r="I281" s="95" t="e">
        <v>#N/A</v>
      </c>
      <c r="J281" s="99"/>
    </row>
    <row r="282" spans="1:14">
      <c r="A282" s="92" t="s">
        <v>571</v>
      </c>
      <c r="B282" s="93">
        <v>-7</v>
      </c>
      <c r="C282" s="93" t="s">
        <v>572</v>
      </c>
      <c r="D282" s="94">
        <v>4699031.5199999996</v>
      </c>
      <c r="E282" s="95">
        <f>VLOOKUP(A282,'Balancete 2014'!A:D,4,0)</f>
        <v>21900744.82</v>
      </c>
      <c r="I282" s="95" t="e">
        <v>#N/A</v>
      </c>
      <c r="J282" s="99"/>
    </row>
    <row r="283" spans="1:14">
      <c r="A283" s="92" t="s">
        <v>573</v>
      </c>
      <c r="B283" s="93">
        <v>-5</v>
      </c>
      <c r="C283" s="93" t="s">
        <v>574</v>
      </c>
      <c r="D283" s="94">
        <v>1305526.28</v>
      </c>
      <c r="E283" s="95">
        <f>VLOOKUP(A283,'Balancete 2014'!A:D,4,0)</f>
        <v>1292261.17</v>
      </c>
      <c r="I283" s="95" t="e">
        <v>#N/A</v>
      </c>
      <c r="J283" s="99"/>
    </row>
    <row r="284" spans="1:14">
      <c r="A284" s="92" t="s">
        <v>577</v>
      </c>
      <c r="B284" s="93">
        <v>-8</v>
      </c>
      <c r="C284" s="93" t="s">
        <v>578</v>
      </c>
      <c r="D284" s="94">
        <v>1342667.12</v>
      </c>
      <c r="E284" s="95">
        <f>VLOOKUP(A284,'Balancete 2014'!A:D,4,0)</f>
        <v>24013871.940000001</v>
      </c>
      <c r="I284" s="95" t="e">
        <v>#N/A</v>
      </c>
      <c r="J284" s="99"/>
    </row>
    <row r="285" spans="1:14">
      <c r="A285" s="92" t="s">
        <v>579</v>
      </c>
      <c r="B285" s="93">
        <v>-3</v>
      </c>
      <c r="C285" s="93" t="s">
        <v>580</v>
      </c>
      <c r="D285" s="94">
        <v>1342667.12</v>
      </c>
      <c r="E285" s="95">
        <f>VLOOKUP(A285,'Balancete 2014'!A:D,4,0)</f>
        <v>24013871.940000001</v>
      </c>
      <c r="I285" s="95" t="e">
        <v>#N/A</v>
      </c>
      <c r="J285" s="99"/>
      <c r="N285" s="95"/>
    </row>
    <row r="286" spans="1:14">
      <c r="A286" s="92" t="s">
        <v>581</v>
      </c>
      <c r="B286" s="93">
        <v>-8</v>
      </c>
      <c r="C286" s="93" t="s">
        <v>582</v>
      </c>
      <c r="D286" s="94">
        <v>1342667.12</v>
      </c>
      <c r="E286" s="95">
        <f>VLOOKUP(A286,'Balancete 2014'!A:D,4,0)</f>
        <v>24013871.940000001</v>
      </c>
      <c r="I286" s="95" t="e">
        <v>#N/A</v>
      </c>
      <c r="J286" s="99"/>
      <c r="K286" s="103" t="s">
        <v>334</v>
      </c>
      <c r="L286" s="103" t="s">
        <v>43</v>
      </c>
      <c r="M286" s="104">
        <v>47042340.520000003</v>
      </c>
      <c r="N286" s="95"/>
    </row>
    <row r="287" spans="1:14">
      <c r="A287" s="134" t="s">
        <v>332</v>
      </c>
      <c r="B287" s="103">
        <v>-8</v>
      </c>
      <c r="C287" s="103" t="s">
        <v>229</v>
      </c>
      <c r="D287" s="135">
        <v>92001488.469999999</v>
      </c>
      <c r="E287" s="104">
        <f>VLOOKUP(A287,'Balancete 2014'!A:D,4,0)</f>
        <v>912414694.49000001</v>
      </c>
      <c r="F287" s="95">
        <f>+D287-M286</f>
        <v>44959147.949999996</v>
      </c>
      <c r="I287" s="95">
        <v>745887094.76999998</v>
      </c>
      <c r="J287" s="99"/>
      <c r="K287" s="103" t="s">
        <v>44</v>
      </c>
      <c r="L287" s="103" t="s">
        <v>45</v>
      </c>
      <c r="M287" s="104">
        <v>47042340.520000003</v>
      </c>
      <c r="N287" s="95"/>
    </row>
    <row r="288" spans="1:14">
      <c r="A288" s="134" t="s">
        <v>230</v>
      </c>
      <c r="B288" s="103">
        <v>-5</v>
      </c>
      <c r="C288" s="103" t="s">
        <v>231</v>
      </c>
      <c r="D288" s="135">
        <v>92001488.469999999</v>
      </c>
      <c r="E288" s="104">
        <f>VLOOKUP(A288,'Balancete 2014'!A:D,4,0)</f>
        <v>912414694.49000001</v>
      </c>
      <c r="I288" s="95">
        <v>745887094.76999998</v>
      </c>
      <c r="J288" s="99"/>
      <c r="K288" s="103" t="s">
        <v>46</v>
      </c>
      <c r="L288" s="103" t="s">
        <v>47</v>
      </c>
      <c r="M288" s="104">
        <v>47042340.520000003</v>
      </c>
      <c r="N288" s="95"/>
    </row>
    <row r="289" spans="1:15">
      <c r="A289" s="134" t="s">
        <v>232</v>
      </c>
      <c r="B289" s="103">
        <v>0</v>
      </c>
      <c r="C289" s="103" t="s">
        <v>231</v>
      </c>
      <c r="D289" s="135">
        <v>92001488.469999999</v>
      </c>
      <c r="E289" s="104">
        <f>VLOOKUP(A289,'Balancete 2014'!A:D,4,0)</f>
        <v>912414694.49000001</v>
      </c>
      <c r="I289" s="95">
        <v>745887094.76999998</v>
      </c>
      <c r="J289" s="99"/>
      <c r="K289" s="103" t="s">
        <v>48</v>
      </c>
      <c r="L289" s="103" t="s">
        <v>895</v>
      </c>
      <c r="M289" s="104">
        <v>26193235.66</v>
      </c>
      <c r="N289" s="95"/>
    </row>
    <row r="290" spans="1:15">
      <c r="A290" s="134" t="s">
        <v>233</v>
      </c>
      <c r="B290" s="103">
        <v>-5</v>
      </c>
      <c r="C290" s="103" t="s">
        <v>872</v>
      </c>
      <c r="D290" s="152">
        <v>33871260.969999999</v>
      </c>
      <c r="E290" s="104">
        <f>VLOOKUP(A290,'Balancete 2014'!A:D,4,0)</f>
        <v>879111632.69000006</v>
      </c>
      <c r="F290" s="95">
        <v>32594551.650000036</v>
      </c>
      <c r="G290" s="110">
        <f>+F290+D290</f>
        <v>66465812.620000035</v>
      </c>
      <c r="I290" s="95">
        <v>719600814.76999998</v>
      </c>
      <c r="J290" s="99"/>
      <c r="K290" s="103" t="s">
        <v>49</v>
      </c>
      <c r="L290" s="103" t="s">
        <v>896</v>
      </c>
      <c r="M290" s="104">
        <v>11640427.859999999</v>
      </c>
      <c r="N290" s="95">
        <v>12121564.119999999</v>
      </c>
      <c r="O290" s="100">
        <f>+N290+M290</f>
        <v>23761991.979999997</v>
      </c>
    </row>
    <row r="291" spans="1:15">
      <c r="A291" s="134" t="s">
        <v>234</v>
      </c>
      <c r="B291" s="103">
        <v>-2</v>
      </c>
      <c r="C291" s="103" t="s">
        <v>235</v>
      </c>
      <c r="D291" s="135">
        <v>58130227.5</v>
      </c>
      <c r="E291" s="104">
        <f>VLOOKUP(A291,'Balancete 2014'!A:D,4,0)</f>
        <v>33303061.800000001</v>
      </c>
      <c r="F291" s="95">
        <v>6783642</v>
      </c>
      <c r="G291" s="95">
        <f>+G290/1000</f>
        <v>66465.812620000041</v>
      </c>
      <c r="I291" s="95">
        <v>26286280</v>
      </c>
      <c r="J291" s="99"/>
      <c r="K291" s="103" t="s">
        <v>50</v>
      </c>
      <c r="L291" s="103" t="s">
        <v>970</v>
      </c>
      <c r="M291" s="104">
        <v>9208677</v>
      </c>
      <c r="N291" s="95"/>
    </row>
    <row r="292" spans="1:15">
      <c r="A292" s="92" t="s">
        <v>335</v>
      </c>
      <c r="B292" s="93">
        <v>-6</v>
      </c>
      <c r="C292" s="93" t="s">
        <v>236</v>
      </c>
      <c r="D292" s="94">
        <v>1519105.37</v>
      </c>
      <c r="E292" s="95">
        <f>VLOOKUP(A292,'Balancete 2014'!A:D,4,0)</f>
        <v>70412842.400000006</v>
      </c>
      <c r="G292" s="95">
        <v>-67565</v>
      </c>
      <c r="I292" s="95">
        <v>57833083.5</v>
      </c>
      <c r="J292" s="99"/>
    </row>
    <row r="293" spans="1:15">
      <c r="A293" s="92" t="s">
        <v>237</v>
      </c>
      <c r="B293" s="93">
        <v>0</v>
      </c>
      <c r="C293" s="93" t="s">
        <v>238</v>
      </c>
      <c r="D293" s="94">
        <v>1519105.37</v>
      </c>
      <c r="E293" s="95">
        <f>VLOOKUP(A293,'Balancete 2014'!A:D,4,0)</f>
        <v>70412842.400000006</v>
      </c>
      <c r="G293" s="95">
        <f>+G292+G291</f>
        <v>-1099.1873799999594</v>
      </c>
      <c r="I293" s="95">
        <v>57833083.5</v>
      </c>
      <c r="J293" s="99"/>
    </row>
    <row r="294" spans="1:15">
      <c r="A294" s="92" t="s">
        <v>336</v>
      </c>
      <c r="B294" s="93">
        <v>-9</v>
      </c>
      <c r="C294" s="93" t="s">
        <v>873</v>
      </c>
      <c r="D294" s="94">
        <v>1467694.4</v>
      </c>
      <c r="E294" s="95">
        <f>VLOOKUP(A294,'Balancete 2014'!A:D,4,0)</f>
        <v>70412757.760000005</v>
      </c>
      <c r="I294" s="95">
        <v>57547444.619999997</v>
      </c>
      <c r="J294" s="99"/>
    </row>
    <row r="295" spans="1:15">
      <c r="A295" s="92" t="s">
        <v>333</v>
      </c>
      <c r="B295" s="93">
        <v>-1</v>
      </c>
      <c r="C295" s="93" t="s">
        <v>874</v>
      </c>
      <c r="D295" s="94">
        <v>1467694.4</v>
      </c>
      <c r="E295" s="95">
        <f>VLOOKUP(A295,'Balancete 2014'!A:D,4,0)</f>
        <v>70412757.760000005</v>
      </c>
      <c r="I295" s="95">
        <v>39323335.810000002</v>
      </c>
      <c r="J295" s="99"/>
      <c r="L295" s="93">
        <v>35692463.979999997</v>
      </c>
    </row>
    <row r="296" spans="1:15">
      <c r="A296" s="92" t="s">
        <v>241</v>
      </c>
      <c r="B296" s="93">
        <v>-9</v>
      </c>
      <c r="C296" s="93" t="s">
        <v>587</v>
      </c>
      <c r="D296" s="94">
        <v>51410.97</v>
      </c>
      <c r="E296" s="95">
        <f>VLOOKUP(A296,'Balancete 2014'!A:D,4,0)</f>
        <v>72.78</v>
      </c>
      <c r="G296" s="95">
        <v>-46716566.289999962</v>
      </c>
      <c r="I296" s="95">
        <v>373.35</v>
      </c>
      <c r="J296" s="99"/>
    </row>
    <row r="297" spans="1:15">
      <c r="A297" s="92" t="s">
        <v>920</v>
      </c>
      <c r="B297" s="93">
        <v>0</v>
      </c>
      <c r="C297" s="93" t="s">
        <v>921</v>
      </c>
      <c r="D297" s="94">
        <v>51410.97</v>
      </c>
      <c r="E297" s="95" t="e">
        <f>VLOOKUP(A297,'Balancete 2014'!A:D,4,0)</f>
        <v>#N/A</v>
      </c>
      <c r="G297" s="95">
        <f>+D290-M289</f>
        <v>7678025.3099999987</v>
      </c>
      <c r="I297" s="95" t="e">
        <v>#N/A</v>
      </c>
      <c r="J297" s="99"/>
    </row>
    <row r="298" spans="1:15">
      <c r="A298" s="92">
        <v>9</v>
      </c>
      <c r="B298" s="93">
        <v>-8</v>
      </c>
      <c r="C298" s="93" t="s">
        <v>626</v>
      </c>
      <c r="D298" s="94">
        <v>98361900.319999993</v>
      </c>
      <c r="E298" s="95">
        <f>VLOOKUP(A298,'Balancete 2014'!A:D,4,0)</f>
        <v>74647059.890000001</v>
      </c>
      <c r="G298" s="95">
        <f>+G297+G296</f>
        <v>-39038540.979999959</v>
      </c>
      <c r="I298" s="95">
        <v>50217802.609999999</v>
      </c>
      <c r="J298" s="99"/>
    </row>
    <row r="299" spans="1:15">
      <c r="A299" s="92" t="s">
        <v>640</v>
      </c>
      <c r="B299" s="93">
        <v>-8</v>
      </c>
      <c r="C299" s="93" t="s">
        <v>626</v>
      </c>
      <c r="D299" s="94">
        <v>98361900.319999993</v>
      </c>
      <c r="E299" s="95">
        <f>VLOOKUP(A299,'Balancete 2014'!A:D,4,0)</f>
        <v>74647059.890000001</v>
      </c>
      <c r="I299" s="95">
        <v>50217802.609999999</v>
      </c>
      <c r="J299" s="99"/>
    </row>
    <row r="300" spans="1:15">
      <c r="A300" s="92" t="s">
        <v>641</v>
      </c>
      <c r="B300" s="93">
        <v>-1</v>
      </c>
      <c r="C300" s="93" t="s">
        <v>629</v>
      </c>
      <c r="D300" s="94">
        <v>98361900.319999993</v>
      </c>
      <c r="E300" s="95">
        <f>VLOOKUP(A300,'Balancete 2014'!A:D,4,0)</f>
        <v>74647059.890000001</v>
      </c>
      <c r="G300" s="95">
        <v>67093387.280000001</v>
      </c>
      <c r="I300" s="95">
        <v>50217802.609999999</v>
      </c>
      <c r="J300" s="99"/>
    </row>
    <row r="301" spans="1:15">
      <c r="A301" s="92" t="s">
        <v>642</v>
      </c>
      <c r="B301" s="93">
        <v>-5</v>
      </c>
      <c r="C301" s="93" t="s">
        <v>643</v>
      </c>
      <c r="D301" s="94">
        <v>98361900.319999993</v>
      </c>
      <c r="E301" s="95">
        <f>VLOOKUP(A301,'Balancete 2014'!A:D,4,0)</f>
        <v>74647059.890000001</v>
      </c>
      <c r="G301" s="95">
        <f>+G300-G290</f>
        <v>627574.65999996662</v>
      </c>
      <c r="I301" s="95">
        <v>50217802.609999999</v>
      </c>
      <c r="J301" s="99"/>
    </row>
    <row r="302" spans="1:15">
      <c r="A302" s="92" t="s">
        <v>644</v>
      </c>
      <c r="B302" s="93">
        <v>-1</v>
      </c>
      <c r="C302" s="93" t="s">
        <v>645</v>
      </c>
      <c r="D302" s="94">
        <v>98361900.319999993</v>
      </c>
      <c r="E302" s="95">
        <f>VLOOKUP(A302,'Balancete 2014'!A:D,4,0)</f>
        <v>74647059.890000001</v>
      </c>
      <c r="I302" s="95">
        <v>50217802.609999999</v>
      </c>
      <c r="J302" s="99"/>
    </row>
    <row r="303" spans="1:15">
      <c r="A303" s="92" t="s">
        <v>646</v>
      </c>
      <c r="B303" s="93">
        <v>-6</v>
      </c>
      <c r="C303" s="93" t="s">
        <v>647</v>
      </c>
      <c r="D303" s="94">
        <v>42865000</v>
      </c>
      <c r="E303" s="95">
        <f>VLOOKUP(A303,'Balancete 2014'!A:D,4,0)</f>
        <v>35006416.810000002</v>
      </c>
      <c r="I303" s="95">
        <v>26433416.77</v>
      </c>
      <c r="J303" s="99"/>
    </row>
    <row r="304" spans="1:15">
      <c r="A304" s="92" t="s">
        <v>648</v>
      </c>
      <c r="B304" s="93">
        <v>-4</v>
      </c>
      <c r="C304" s="93" t="s">
        <v>649</v>
      </c>
      <c r="D304" s="94">
        <v>55496900.32</v>
      </c>
      <c r="E304" s="95">
        <f>VLOOKUP(A304,'Balancete 2014'!A:D,4,0)</f>
        <v>39640643.079999998</v>
      </c>
      <c r="I304" s="95">
        <v>23784385.84</v>
      </c>
      <c r="J304" s="99"/>
    </row>
    <row r="305" spans="1:4">
      <c r="A305" s="92"/>
    </row>
    <row r="306" spans="1:4">
      <c r="A306" s="92"/>
      <c r="D306" s="93" t="s">
        <v>973</v>
      </c>
    </row>
    <row r="307" spans="1:4">
      <c r="A307" s="92"/>
    </row>
    <row r="308" spans="1:4">
      <c r="A308" s="92"/>
    </row>
    <row r="309" spans="1:4">
      <c r="A309" s="92"/>
    </row>
    <row r="310" spans="1:4">
      <c r="A310" s="92"/>
    </row>
    <row r="311" spans="1:4">
      <c r="A311" s="92"/>
    </row>
    <row r="312" spans="1:4">
      <c r="A312" s="92"/>
    </row>
    <row r="313" spans="1:4">
      <c r="A313" s="92"/>
    </row>
    <row r="314" spans="1:4">
      <c r="A314" s="92"/>
    </row>
    <row r="315" spans="1:4">
      <c r="A315" s="92"/>
    </row>
    <row r="316" spans="1:4">
      <c r="A316" s="92"/>
    </row>
    <row r="317" spans="1:4">
      <c r="A317" s="92"/>
    </row>
    <row r="318" spans="1:4">
      <c r="A318" s="92"/>
    </row>
    <row r="319" spans="1:4">
      <c r="A319" s="92"/>
    </row>
    <row r="320" spans="1:4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4">
      <c r="A337" s="92"/>
    </row>
    <row r="338" spans="1:4">
      <c r="A338" s="92"/>
    </row>
    <row r="339" spans="1:4">
      <c r="A339" s="92"/>
    </row>
    <row r="340" spans="1:4">
      <c r="A340" s="92"/>
    </row>
    <row r="341" spans="1:4">
      <c r="A341" s="92"/>
    </row>
    <row r="343" spans="1:4">
      <c r="A343" s="92" t="s">
        <v>961</v>
      </c>
      <c r="B343" s="93" t="s">
        <v>675</v>
      </c>
      <c r="C343" s="93" t="s">
        <v>962</v>
      </c>
      <c r="D343" s="93" t="s">
        <v>974</v>
      </c>
    </row>
    <row r="344" spans="1:4">
      <c r="A344" s="97">
        <v>0.70958333333333334</v>
      </c>
      <c r="C344" s="93" t="s">
        <v>963</v>
      </c>
      <c r="D344" s="93" t="s">
        <v>964</v>
      </c>
    </row>
    <row r="345" spans="1:4">
      <c r="A345" s="92" t="s">
        <v>652</v>
      </c>
      <c r="B345" s="93" t="s">
        <v>653</v>
      </c>
      <c r="C345" s="93" t="s">
        <v>971</v>
      </c>
      <c r="D345" s="93" t="s">
        <v>972</v>
      </c>
    </row>
    <row r="346" spans="1:4">
      <c r="A346" s="92" t="s">
        <v>617</v>
      </c>
      <c r="B346" s="93" t="s">
        <v>618</v>
      </c>
      <c r="C346" s="93" t="s">
        <v>967</v>
      </c>
      <c r="D346" s="93" t="s">
        <v>968</v>
      </c>
    </row>
    <row r="347" spans="1:4">
      <c r="A347" s="92"/>
      <c r="C347" s="93" t="s">
        <v>975</v>
      </c>
      <c r="D347" s="93" t="s">
        <v>976</v>
      </c>
    </row>
    <row r="348" spans="1:4">
      <c r="A348" s="92" t="s">
        <v>617</v>
      </c>
      <c r="B348" s="93" t="s">
        <v>618</v>
      </c>
      <c r="C348" s="93" t="s">
        <v>967</v>
      </c>
      <c r="D348" s="93" t="s">
        <v>968</v>
      </c>
    </row>
    <row r="349" spans="1:4">
      <c r="A349" s="92"/>
    </row>
    <row r="350" spans="1:4">
      <c r="A350" s="92"/>
    </row>
    <row r="351" spans="1:4">
      <c r="A351" s="92"/>
    </row>
    <row r="352" spans="1:4">
      <c r="A352" s="92"/>
    </row>
    <row r="353" spans="1:3">
      <c r="A353" s="92"/>
    </row>
    <row r="354" spans="1:3">
      <c r="A354" s="92"/>
    </row>
    <row r="355" spans="1:3">
      <c r="A355" s="92"/>
    </row>
    <row r="356" spans="1:3">
      <c r="A356" s="92" t="s">
        <v>922</v>
      </c>
      <c r="B356" s="92" t="s">
        <v>923</v>
      </c>
      <c r="C356" s="93" t="s">
        <v>924</v>
      </c>
    </row>
    <row r="357" spans="1:3">
      <c r="A357" s="92" t="s">
        <v>875</v>
      </c>
      <c r="B357" s="93" t="s">
        <v>925</v>
      </c>
      <c r="C357" s="93" t="s">
        <v>926</v>
      </c>
    </row>
    <row r="358" spans="1:3">
      <c r="A358" s="92"/>
    </row>
    <row r="359" spans="1:3">
      <c r="A359" s="92"/>
    </row>
    <row r="360" spans="1:3">
      <c r="A360" s="92"/>
    </row>
    <row r="361" spans="1:3">
      <c r="A361" s="92"/>
    </row>
    <row r="362" spans="1:3">
      <c r="A362" s="92"/>
    </row>
    <row r="363" spans="1:3">
      <c r="A363" s="92"/>
    </row>
    <row r="364" spans="1:3">
      <c r="A364" s="92"/>
    </row>
    <row r="365" spans="1:3">
      <c r="A365" s="92"/>
    </row>
    <row r="366" spans="1:3">
      <c r="A366" s="92" t="s">
        <v>927</v>
      </c>
      <c r="B366" s="93" t="s">
        <v>928</v>
      </c>
      <c r="C366" s="93" t="s">
        <v>929</v>
      </c>
    </row>
    <row r="367" spans="1:3">
      <c r="A367" s="92" t="s">
        <v>686</v>
      </c>
      <c r="B367" s="93" t="s">
        <v>687</v>
      </c>
      <c r="C367" s="93" t="s">
        <v>930</v>
      </c>
    </row>
    <row r="368" spans="1:3">
      <c r="A368" s="92"/>
    </row>
    <row r="369" spans="1:3">
      <c r="A369" s="92"/>
    </row>
    <row r="370" spans="1:3">
      <c r="A370" s="92"/>
    </row>
    <row r="371" spans="1:3">
      <c r="A371" s="92"/>
    </row>
    <row r="372" spans="1:3">
      <c r="A372" s="92"/>
    </row>
    <row r="373" spans="1:3">
      <c r="A373" s="92"/>
    </row>
    <row r="374" spans="1:3">
      <c r="A374" s="92"/>
    </row>
    <row r="375" spans="1:3">
      <c r="A375" s="92"/>
    </row>
    <row r="376" spans="1:3">
      <c r="A376" s="92" t="s">
        <v>931</v>
      </c>
      <c r="B376" s="93" t="s">
        <v>932</v>
      </c>
      <c r="C376" s="93" t="s">
        <v>933</v>
      </c>
    </row>
    <row r="377" spans="1:3">
      <c r="A377" s="92" t="s">
        <v>934</v>
      </c>
      <c r="B377" s="93" t="s">
        <v>935</v>
      </c>
      <c r="C377" s="93" t="s">
        <v>936</v>
      </c>
    </row>
    <row r="378" spans="1:3">
      <c r="A378" s="92" t="s">
        <v>937</v>
      </c>
      <c r="B378" s="93" t="s">
        <v>242</v>
      </c>
      <c r="C378" s="93" t="s">
        <v>938</v>
      </c>
    </row>
    <row r="379" spans="1:3">
      <c r="A379" s="92"/>
    </row>
    <row r="380" spans="1:3">
      <c r="A380" s="92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M315"/>
  <sheetViews>
    <sheetView topLeftCell="A4" workbookViewId="0">
      <selection activeCell="N270" sqref="N270"/>
    </sheetView>
  </sheetViews>
  <sheetFormatPr defaultRowHeight="12.75"/>
  <cols>
    <col min="1" max="1" width="15.140625" bestFit="1" customWidth="1"/>
    <col min="2" max="2" width="3.7109375" bestFit="1" customWidth="1"/>
    <col min="3" max="3" width="56.85546875" bestFit="1" customWidth="1"/>
    <col min="4" max="4" width="21.140625" customWidth="1"/>
    <col min="5" max="5" width="18.85546875" hidden="1" customWidth="1"/>
    <col min="6" max="6" width="42.85546875" hidden="1" customWidth="1"/>
    <col min="7" max="7" width="20.28515625" hidden="1" customWidth="1"/>
    <col min="8" max="8" width="14" style="6" hidden="1" customWidth="1"/>
    <col min="9" max="9" width="14" hidden="1" customWidth="1"/>
    <col min="10" max="11" width="0" hidden="1" customWidth="1"/>
    <col min="12" max="12" width="15" bestFit="1" customWidth="1"/>
    <col min="13" max="13" width="13.85546875" bestFit="1" customWidth="1"/>
  </cols>
  <sheetData>
    <row r="1" spans="1:4">
      <c r="A1" s="36" t="s">
        <v>940</v>
      </c>
      <c r="B1" t="s">
        <v>675</v>
      </c>
      <c r="C1" t="s">
        <v>876</v>
      </c>
      <c r="D1" t="s">
        <v>792</v>
      </c>
    </row>
    <row r="2" spans="1:4">
      <c r="A2" s="49">
        <v>0.71186342592592589</v>
      </c>
      <c r="C2" t="s">
        <v>793</v>
      </c>
      <c r="D2" t="s">
        <v>794</v>
      </c>
    </row>
    <row r="3" spans="1:4">
      <c r="A3" s="36" t="s">
        <v>652</v>
      </c>
      <c r="B3" t="s">
        <v>653</v>
      </c>
      <c r="C3" t="s">
        <v>877</v>
      </c>
      <c r="D3" t="s">
        <v>941</v>
      </c>
    </row>
    <row r="4" spans="1:4">
      <c r="A4" s="36" t="s">
        <v>617</v>
      </c>
      <c r="B4" t="s">
        <v>618</v>
      </c>
      <c r="C4" t="s">
        <v>878</v>
      </c>
      <c r="D4" t="s">
        <v>795</v>
      </c>
    </row>
    <row r="5" spans="1:4">
      <c r="A5" s="36" t="s">
        <v>619</v>
      </c>
      <c r="B5" t="s">
        <v>620</v>
      </c>
      <c r="C5" t="s">
        <v>621</v>
      </c>
    </row>
    <row r="6" spans="1:4">
      <c r="A6" s="36" t="s">
        <v>617</v>
      </c>
      <c r="B6" t="s">
        <v>618</v>
      </c>
      <c r="C6" t="s">
        <v>878</v>
      </c>
      <c r="D6" t="s">
        <v>795</v>
      </c>
    </row>
    <row r="7" spans="1:4">
      <c r="A7" s="36">
        <v>1</v>
      </c>
      <c r="B7">
        <v>-7</v>
      </c>
      <c r="C7" t="s">
        <v>346</v>
      </c>
      <c r="D7" s="2">
        <v>1796685811.5999999</v>
      </c>
    </row>
    <row r="8" spans="1:4">
      <c r="A8" s="36" t="s">
        <v>315</v>
      </c>
      <c r="B8">
        <v>-4</v>
      </c>
      <c r="C8" t="s">
        <v>347</v>
      </c>
      <c r="D8">
        <v>619.99</v>
      </c>
    </row>
    <row r="9" spans="1:4">
      <c r="A9" s="36" t="s">
        <v>348</v>
      </c>
      <c r="B9">
        <v>-2</v>
      </c>
      <c r="C9" t="s">
        <v>349</v>
      </c>
      <c r="D9">
        <v>568.01</v>
      </c>
    </row>
    <row r="10" spans="1:4">
      <c r="A10" s="36" t="s">
        <v>350</v>
      </c>
      <c r="B10">
        <v>0</v>
      </c>
      <c r="C10" t="s">
        <v>349</v>
      </c>
      <c r="D10">
        <v>568.01</v>
      </c>
    </row>
    <row r="11" spans="1:4">
      <c r="A11" s="36" t="s">
        <v>352</v>
      </c>
      <c r="B11">
        <v>-5</v>
      </c>
      <c r="C11" t="s">
        <v>349</v>
      </c>
      <c r="D11">
        <v>568.01</v>
      </c>
    </row>
    <row r="12" spans="1:4">
      <c r="A12" s="36" t="s">
        <v>353</v>
      </c>
      <c r="B12">
        <v>-3</v>
      </c>
      <c r="C12" t="s">
        <v>349</v>
      </c>
      <c r="D12">
        <v>568.01</v>
      </c>
    </row>
    <row r="13" spans="1:4">
      <c r="A13" s="36" t="s">
        <v>354</v>
      </c>
      <c r="B13">
        <v>0</v>
      </c>
      <c r="C13" t="s">
        <v>355</v>
      </c>
      <c r="D13">
        <v>51.98</v>
      </c>
    </row>
    <row r="14" spans="1:4">
      <c r="A14" s="36" t="s">
        <v>356</v>
      </c>
      <c r="B14">
        <v>-2</v>
      </c>
      <c r="C14" t="s">
        <v>355</v>
      </c>
      <c r="D14">
        <v>51.98</v>
      </c>
    </row>
    <row r="15" spans="1:4">
      <c r="A15" s="36" t="s">
        <v>357</v>
      </c>
      <c r="B15">
        <v>-8</v>
      </c>
      <c r="C15" t="s">
        <v>355</v>
      </c>
      <c r="D15">
        <v>51.98</v>
      </c>
    </row>
    <row r="16" spans="1:4">
      <c r="A16" s="36" t="s">
        <v>358</v>
      </c>
      <c r="B16">
        <v>-6</v>
      </c>
      <c r="C16" t="s">
        <v>355</v>
      </c>
      <c r="D16">
        <v>51.98</v>
      </c>
    </row>
    <row r="17" spans="1:4">
      <c r="A17" s="36" t="s">
        <v>316</v>
      </c>
      <c r="B17">
        <v>-1</v>
      </c>
      <c r="C17" t="s">
        <v>359</v>
      </c>
      <c r="D17" s="2">
        <v>99560048.340000004</v>
      </c>
    </row>
    <row r="18" spans="1:4">
      <c r="A18" s="36" t="s">
        <v>360</v>
      </c>
      <c r="B18">
        <v>0</v>
      </c>
      <c r="C18" t="s">
        <v>361</v>
      </c>
      <c r="D18" s="2">
        <v>99560048.340000004</v>
      </c>
    </row>
    <row r="19" spans="1:4">
      <c r="A19" s="36" t="s">
        <v>362</v>
      </c>
      <c r="B19">
        <v>-3</v>
      </c>
      <c r="C19" t="s">
        <v>363</v>
      </c>
      <c r="D19" s="2">
        <v>99560048.340000004</v>
      </c>
    </row>
    <row r="20" spans="1:4">
      <c r="A20" s="36" t="s">
        <v>372</v>
      </c>
      <c r="B20">
        <v>-8</v>
      </c>
      <c r="C20" t="s">
        <v>373</v>
      </c>
      <c r="D20" s="2">
        <v>99560048.340000004</v>
      </c>
    </row>
    <row r="21" spans="1:4">
      <c r="A21" s="36" t="s">
        <v>374</v>
      </c>
      <c r="B21">
        <v>-9</v>
      </c>
      <c r="C21" t="s">
        <v>879</v>
      </c>
      <c r="D21" s="2">
        <v>99560048.340000004</v>
      </c>
    </row>
    <row r="22" spans="1:4">
      <c r="A22" s="36" t="s">
        <v>365</v>
      </c>
      <c r="B22">
        <v>-9</v>
      </c>
      <c r="C22" t="s">
        <v>366</v>
      </c>
      <c r="D22" s="2">
        <v>1566166083.28</v>
      </c>
    </row>
    <row r="23" spans="1:4">
      <c r="A23" s="36" t="s">
        <v>367</v>
      </c>
      <c r="B23">
        <v>-7</v>
      </c>
      <c r="C23" t="s">
        <v>368</v>
      </c>
      <c r="D23" s="2">
        <v>1566166083.28</v>
      </c>
    </row>
    <row r="24" spans="1:4">
      <c r="A24" s="36" t="s">
        <v>318</v>
      </c>
      <c r="B24">
        <v>0</v>
      </c>
      <c r="C24" t="s">
        <v>0</v>
      </c>
      <c r="D24" s="2">
        <v>598905331.42999995</v>
      </c>
    </row>
    <row r="25" spans="1:4">
      <c r="A25" s="36" t="s">
        <v>1</v>
      </c>
      <c r="B25">
        <v>-7</v>
      </c>
      <c r="C25" t="s">
        <v>2</v>
      </c>
      <c r="D25" s="2">
        <v>598905331.42999995</v>
      </c>
    </row>
    <row r="26" spans="1:4">
      <c r="A26" s="36" t="s">
        <v>3</v>
      </c>
      <c r="B26">
        <v>-5</v>
      </c>
      <c r="C26" t="s">
        <v>796</v>
      </c>
      <c r="D26" s="2">
        <v>598905331.42999995</v>
      </c>
    </row>
    <row r="27" spans="1:4">
      <c r="A27" s="36" t="s">
        <v>377</v>
      </c>
      <c r="B27">
        <v>-3</v>
      </c>
      <c r="C27" t="s">
        <v>378</v>
      </c>
      <c r="D27" s="2">
        <v>23807913.690000001</v>
      </c>
    </row>
    <row r="28" spans="1:4">
      <c r="A28" s="36" t="s">
        <v>379</v>
      </c>
      <c r="B28">
        <v>-6</v>
      </c>
      <c r="C28" t="s">
        <v>380</v>
      </c>
      <c r="D28" s="2">
        <v>23807913.690000001</v>
      </c>
    </row>
    <row r="29" spans="1:4">
      <c r="A29" s="36" t="s">
        <v>381</v>
      </c>
      <c r="B29">
        <v>-4</v>
      </c>
      <c r="C29" t="s">
        <v>880</v>
      </c>
      <c r="D29" s="2">
        <v>23807913.690000001</v>
      </c>
    </row>
    <row r="30" spans="1:4">
      <c r="A30" s="36" t="s">
        <v>317</v>
      </c>
      <c r="B30">
        <v>-4</v>
      </c>
      <c r="C30" t="s">
        <v>4</v>
      </c>
      <c r="D30" s="2">
        <v>943452838.15999997</v>
      </c>
    </row>
    <row r="31" spans="1:4">
      <c r="A31" s="36" t="s">
        <v>5</v>
      </c>
      <c r="B31">
        <v>0</v>
      </c>
      <c r="C31" t="s">
        <v>6</v>
      </c>
      <c r="D31" s="2">
        <v>943452838.15999997</v>
      </c>
    </row>
    <row r="32" spans="1:4">
      <c r="A32" s="36" t="s">
        <v>7</v>
      </c>
      <c r="B32">
        <v>-7</v>
      </c>
      <c r="C32" t="s">
        <v>881</v>
      </c>
      <c r="D32" s="2">
        <v>943452838.15999997</v>
      </c>
    </row>
    <row r="33" spans="1:4">
      <c r="A33" s="36" t="s">
        <v>12</v>
      </c>
      <c r="B33">
        <v>-5</v>
      </c>
      <c r="C33" t="s">
        <v>13</v>
      </c>
      <c r="D33" s="2">
        <v>130959059.98999999</v>
      </c>
    </row>
    <row r="34" spans="1:4">
      <c r="A34" s="36" t="s">
        <v>319</v>
      </c>
      <c r="B34">
        <v>0</v>
      </c>
      <c r="C34" t="s">
        <v>14</v>
      </c>
      <c r="D34" s="2">
        <v>108297389.05</v>
      </c>
    </row>
    <row r="35" spans="1:4">
      <c r="A35" s="36" t="s">
        <v>15</v>
      </c>
      <c r="B35">
        <v>-1</v>
      </c>
      <c r="C35" t="s">
        <v>16</v>
      </c>
      <c r="D35" s="2">
        <v>108297389.05</v>
      </c>
    </row>
    <row r="36" spans="1:4">
      <c r="A36" s="36" t="s">
        <v>17</v>
      </c>
      <c r="B36">
        <v>-3</v>
      </c>
      <c r="C36" t="s">
        <v>797</v>
      </c>
      <c r="D36" s="2">
        <v>108297389.05</v>
      </c>
    </row>
    <row r="37" spans="1:4">
      <c r="A37" s="36" t="s">
        <v>18</v>
      </c>
      <c r="B37">
        <v>-1</v>
      </c>
      <c r="C37" t="s">
        <v>798</v>
      </c>
      <c r="D37" s="2">
        <v>30338545.57</v>
      </c>
    </row>
    <row r="38" spans="1:4">
      <c r="A38" s="36" t="s">
        <v>19</v>
      </c>
      <c r="B38">
        <v>0</v>
      </c>
      <c r="C38" t="s">
        <v>799</v>
      </c>
      <c r="D38" s="2">
        <v>77958843.480000004</v>
      </c>
    </row>
    <row r="39" spans="1:4">
      <c r="A39" s="36" t="s">
        <v>320</v>
      </c>
      <c r="B39">
        <v>0</v>
      </c>
      <c r="C39" t="s">
        <v>20</v>
      </c>
      <c r="D39" s="2">
        <v>22661670.940000001</v>
      </c>
    </row>
    <row r="40" spans="1:4">
      <c r="A40" s="36" t="s">
        <v>21</v>
      </c>
      <c r="B40">
        <v>0</v>
      </c>
      <c r="C40" t="s">
        <v>22</v>
      </c>
      <c r="D40" s="2">
        <v>53226.58</v>
      </c>
    </row>
    <row r="41" spans="1:4">
      <c r="A41" s="36" t="s">
        <v>23</v>
      </c>
      <c r="B41">
        <v>-4</v>
      </c>
      <c r="C41" t="s">
        <v>387</v>
      </c>
      <c r="D41" s="2">
        <v>53226.58</v>
      </c>
    </row>
    <row r="42" spans="1:4">
      <c r="A42" s="36" t="s">
        <v>24</v>
      </c>
      <c r="B42">
        <v>-2</v>
      </c>
      <c r="C42" t="s">
        <v>800</v>
      </c>
      <c r="D42" s="2">
        <v>39137.19</v>
      </c>
    </row>
    <row r="43" spans="1:4">
      <c r="A43" s="36" t="s">
        <v>25</v>
      </c>
      <c r="B43">
        <v>0</v>
      </c>
      <c r="C43" t="s">
        <v>801</v>
      </c>
      <c r="D43" s="2">
        <v>14089.39</v>
      </c>
    </row>
    <row r="44" spans="1:4">
      <c r="A44" s="36" t="s">
        <v>26</v>
      </c>
      <c r="B44">
        <v>-8</v>
      </c>
      <c r="C44" t="s">
        <v>27</v>
      </c>
      <c r="D44" s="2">
        <v>22600704.329999998</v>
      </c>
    </row>
    <row r="45" spans="1:4">
      <c r="A45" s="36" t="s">
        <v>390</v>
      </c>
      <c r="B45">
        <v>0</v>
      </c>
      <c r="C45" t="s">
        <v>942</v>
      </c>
      <c r="D45" s="2">
        <v>22547159.850000001</v>
      </c>
    </row>
    <row r="46" spans="1:4">
      <c r="A46" s="36" t="s">
        <v>392</v>
      </c>
      <c r="B46">
        <v>-8</v>
      </c>
      <c r="C46" t="s">
        <v>943</v>
      </c>
      <c r="D46" s="2">
        <v>7589646.5700000003</v>
      </c>
    </row>
    <row r="47" spans="1:4">
      <c r="A47" s="36" t="s">
        <v>394</v>
      </c>
      <c r="B47">
        <v>-6</v>
      </c>
      <c r="C47" t="s">
        <v>944</v>
      </c>
      <c r="D47" s="2">
        <v>9801416.6500000004</v>
      </c>
    </row>
    <row r="48" spans="1:4">
      <c r="A48" s="36" t="s">
        <v>396</v>
      </c>
      <c r="B48">
        <v>-2</v>
      </c>
      <c r="C48" t="s">
        <v>945</v>
      </c>
      <c r="D48" s="2">
        <v>5156096.63</v>
      </c>
    </row>
    <row r="49" spans="1:4">
      <c r="A49" s="36" t="s">
        <v>676</v>
      </c>
      <c r="B49">
        <v>-5</v>
      </c>
      <c r="C49" t="s">
        <v>742</v>
      </c>
      <c r="D49" s="2">
        <v>53544.480000000003</v>
      </c>
    </row>
    <row r="50" spans="1:4">
      <c r="A50" s="36" t="s">
        <v>677</v>
      </c>
      <c r="B50">
        <v>-3</v>
      </c>
      <c r="C50" t="s">
        <v>882</v>
      </c>
      <c r="D50" s="2">
        <v>53544.480000000003</v>
      </c>
    </row>
    <row r="51" spans="1:4">
      <c r="A51" s="36" t="s">
        <v>302</v>
      </c>
      <c r="B51">
        <v>-2</v>
      </c>
      <c r="C51" t="s">
        <v>303</v>
      </c>
      <c r="D51" s="2">
        <v>7740.03</v>
      </c>
    </row>
    <row r="52" spans="1:4">
      <c r="A52" s="36" t="s">
        <v>304</v>
      </c>
      <c r="B52">
        <v>-7</v>
      </c>
      <c r="C52" t="s">
        <v>303</v>
      </c>
      <c r="D52" s="2">
        <v>7740.03</v>
      </c>
    </row>
    <row r="53" spans="1:4">
      <c r="A53" s="36" t="s">
        <v>305</v>
      </c>
      <c r="B53">
        <v>-4</v>
      </c>
      <c r="C53" t="s">
        <v>889</v>
      </c>
      <c r="D53" s="2">
        <v>7740.03</v>
      </c>
    </row>
    <row r="54" spans="1:4">
      <c r="A54" s="36">
        <v>2</v>
      </c>
      <c r="B54">
        <v>-3</v>
      </c>
      <c r="C54" t="s">
        <v>622</v>
      </c>
      <c r="D54" s="2">
        <v>4845754743.46</v>
      </c>
    </row>
    <row r="55" spans="1:4">
      <c r="A55" s="36" t="s">
        <v>321</v>
      </c>
      <c r="B55">
        <v>0</v>
      </c>
      <c r="C55" t="s">
        <v>28</v>
      </c>
      <c r="D55" s="2">
        <v>4845754743.46</v>
      </c>
    </row>
    <row r="56" spans="1:4">
      <c r="A56" s="36" t="s">
        <v>29</v>
      </c>
      <c r="B56">
        <v>-7</v>
      </c>
      <c r="C56" t="s">
        <v>30</v>
      </c>
      <c r="D56" s="2">
        <v>4845754743.46</v>
      </c>
    </row>
    <row r="57" spans="1:4">
      <c r="A57" s="36" t="s">
        <v>31</v>
      </c>
      <c r="B57">
        <v>0</v>
      </c>
      <c r="C57" t="s">
        <v>32</v>
      </c>
      <c r="D57" s="2">
        <v>4845754743.46</v>
      </c>
    </row>
    <row r="58" spans="1:4">
      <c r="A58" s="36" t="s">
        <v>268</v>
      </c>
      <c r="B58">
        <v>-2</v>
      </c>
      <c r="C58" t="s">
        <v>399</v>
      </c>
      <c r="D58" s="2">
        <v>1446294528.3</v>
      </c>
    </row>
    <row r="59" spans="1:4">
      <c r="A59" s="36" t="s">
        <v>269</v>
      </c>
      <c r="B59">
        <v>0</v>
      </c>
      <c r="C59" t="s">
        <v>590</v>
      </c>
      <c r="D59" s="2">
        <v>1447247167.49</v>
      </c>
    </row>
    <row r="60" spans="1:4">
      <c r="A60" s="36" t="s">
        <v>654</v>
      </c>
      <c r="B60">
        <v>-9</v>
      </c>
      <c r="C60" t="s">
        <v>655</v>
      </c>
      <c r="D60" s="2">
        <v>-952639.19</v>
      </c>
    </row>
    <row r="61" spans="1:4">
      <c r="A61" s="36" t="s">
        <v>270</v>
      </c>
      <c r="B61">
        <v>-9</v>
      </c>
      <c r="C61" t="s">
        <v>400</v>
      </c>
      <c r="D61" s="2">
        <v>176358000</v>
      </c>
    </row>
    <row r="62" spans="1:4">
      <c r="A62" s="36" t="s">
        <v>271</v>
      </c>
      <c r="B62">
        <v>-7</v>
      </c>
      <c r="C62" t="s">
        <v>401</v>
      </c>
      <c r="D62" s="2">
        <v>176358000</v>
      </c>
    </row>
    <row r="63" spans="1:4">
      <c r="A63" s="36" t="s">
        <v>272</v>
      </c>
      <c r="B63">
        <v>-1</v>
      </c>
      <c r="C63" t="s">
        <v>402</v>
      </c>
      <c r="D63" s="2">
        <v>34292735.020000003</v>
      </c>
    </row>
    <row r="64" spans="1:4">
      <c r="A64" s="36" t="s">
        <v>273</v>
      </c>
      <c r="B64">
        <v>0</v>
      </c>
      <c r="C64" t="s">
        <v>403</v>
      </c>
      <c r="D64" s="2">
        <v>162276000</v>
      </c>
    </row>
    <row r="65" spans="1:4">
      <c r="A65" s="36" t="s">
        <v>274</v>
      </c>
      <c r="B65">
        <v>-8</v>
      </c>
      <c r="C65" t="s">
        <v>404</v>
      </c>
      <c r="D65" s="2">
        <v>-127983264.98</v>
      </c>
    </row>
    <row r="66" spans="1:4">
      <c r="A66" s="36" t="s">
        <v>275</v>
      </c>
      <c r="B66">
        <v>-8</v>
      </c>
      <c r="C66" t="s">
        <v>276</v>
      </c>
      <c r="D66" s="2">
        <v>2910772300.8200002</v>
      </c>
    </row>
    <row r="67" spans="1:4">
      <c r="A67" s="36" t="s">
        <v>277</v>
      </c>
      <c r="B67">
        <v>-6</v>
      </c>
      <c r="C67" t="s">
        <v>946</v>
      </c>
      <c r="D67" s="2">
        <v>2399647749.1199999</v>
      </c>
    </row>
    <row r="68" spans="1:4">
      <c r="A68" s="36" t="s">
        <v>278</v>
      </c>
      <c r="B68">
        <v>-4</v>
      </c>
      <c r="C68" t="s">
        <v>405</v>
      </c>
      <c r="D68" s="2">
        <v>18749059.170000002</v>
      </c>
    </row>
    <row r="69" spans="1:4">
      <c r="A69" s="36" t="s">
        <v>279</v>
      </c>
      <c r="B69">
        <v>-2</v>
      </c>
      <c r="C69" t="s">
        <v>406</v>
      </c>
      <c r="D69" s="2">
        <v>6831764.6200000001</v>
      </c>
    </row>
    <row r="70" spans="1:4">
      <c r="A70" s="36" t="s">
        <v>407</v>
      </c>
      <c r="B70">
        <v>0</v>
      </c>
      <c r="C70" t="s">
        <v>408</v>
      </c>
      <c r="D70" s="2">
        <v>37133242.759999998</v>
      </c>
    </row>
    <row r="71" spans="1:4">
      <c r="A71" s="36" t="s">
        <v>678</v>
      </c>
      <c r="B71">
        <v>-2</v>
      </c>
      <c r="C71" t="s">
        <v>744</v>
      </c>
      <c r="D71" s="2">
        <v>99848.07</v>
      </c>
    </row>
    <row r="72" spans="1:4">
      <c r="A72" s="36" t="s">
        <v>280</v>
      </c>
      <c r="B72">
        <v>0</v>
      </c>
      <c r="C72" t="s">
        <v>409</v>
      </c>
      <c r="D72" s="2">
        <v>1834473.29</v>
      </c>
    </row>
    <row r="73" spans="1:4">
      <c r="A73" s="36" t="s">
        <v>281</v>
      </c>
      <c r="B73">
        <v>-9</v>
      </c>
      <c r="C73" t="s">
        <v>410</v>
      </c>
      <c r="D73">
        <v>2.5</v>
      </c>
    </row>
    <row r="74" spans="1:4">
      <c r="A74" s="36" t="s">
        <v>282</v>
      </c>
      <c r="B74">
        <v>-7</v>
      </c>
      <c r="C74" t="s">
        <v>411</v>
      </c>
      <c r="D74" s="2">
        <v>32461853.98</v>
      </c>
    </row>
    <row r="75" spans="1:4">
      <c r="A75" s="36" t="s">
        <v>283</v>
      </c>
      <c r="B75">
        <v>-5</v>
      </c>
      <c r="C75" t="s">
        <v>412</v>
      </c>
      <c r="D75" s="2">
        <v>3395.8</v>
      </c>
    </row>
    <row r="76" spans="1:4">
      <c r="A76" s="36" t="s">
        <v>284</v>
      </c>
      <c r="B76">
        <v>-1</v>
      </c>
      <c r="C76" t="s">
        <v>413</v>
      </c>
      <c r="D76" s="2">
        <v>46325930.039999999</v>
      </c>
    </row>
    <row r="77" spans="1:4">
      <c r="A77" s="36" t="s">
        <v>414</v>
      </c>
      <c r="B77">
        <v>0</v>
      </c>
      <c r="C77" t="s">
        <v>623</v>
      </c>
      <c r="D77" s="2">
        <v>1010953.34</v>
      </c>
    </row>
    <row r="78" spans="1:4">
      <c r="A78" s="36" t="s">
        <v>624</v>
      </c>
      <c r="B78">
        <v>-6</v>
      </c>
      <c r="C78" t="s">
        <v>625</v>
      </c>
      <c r="D78" s="2">
        <v>26609856.760000002</v>
      </c>
    </row>
    <row r="79" spans="1:4">
      <c r="A79" s="36" t="s">
        <v>691</v>
      </c>
      <c r="B79">
        <v>0</v>
      </c>
      <c r="C79" t="s">
        <v>890</v>
      </c>
      <c r="D79" s="2">
        <v>3536300</v>
      </c>
    </row>
    <row r="80" spans="1:4">
      <c r="A80" s="36" t="s">
        <v>745</v>
      </c>
      <c r="B80">
        <v>0</v>
      </c>
      <c r="C80" t="s">
        <v>947</v>
      </c>
      <c r="D80" s="2">
        <v>336527871.37</v>
      </c>
    </row>
    <row r="81" spans="1:4">
      <c r="A81" s="36" t="s">
        <v>285</v>
      </c>
      <c r="B81">
        <v>-4</v>
      </c>
      <c r="C81" t="s">
        <v>416</v>
      </c>
      <c r="D81" s="2">
        <v>79783476.359999999</v>
      </c>
    </row>
    <row r="82" spans="1:4">
      <c r="A82" s="36" t="s">
        <v>286</v>
      </c>
      <c r="B82">
        <v>-2</v>
      </c>
      <c r="C82" t="s">
        <v>417</v>
      </c>
      <c r="D82" s="2">
        <v>79281286</v>
      </c>
    </row>
    <row r="83" spans="1:4">
      <c r="A83" s="36" t="s">
        <v>725</v>
      </c>
      <c r="B83">
        <v>0</v>
      </c>
      <c r="C83" t="s">
        <v>726</v>
      </c>
      <c r="D83" s="2">
        <v>33572.28</v>
      </c>
    </row>
    <row r="84" spans="1:4">
      <c r="A84" s="36" t="s">
        <v>748</v>
      </c>
      <c r="B84">
        <v>-9</v>
      </c>
      <c r="C84" t="s">
        <v>948</v>
      </c>
      <c r="D84" s="2">
        <v>468618.08</v>
      </c>
    </row>
    <row r="85" spans="1:4">
      <c r="A85" s="36" t="s">
        <v>287</v>
      </c>
      <c r="B85">
        <v>-7</v>
      </c>
      <c r="C85" t="s">
        <v>891</v>
      </c>
      <c r="D85" s="2">
        <v>133298088</v>
      </c>
    </row>
    <row r="86" spans="1:4">
      <c r="A86" s="36" t="s">
        <v>288</v>
      </c>
      <c r="B86">
        <v>-5</v>
      </c>
      <c r="C86" t="s">
        <v>419</v>
      </c>
      <c r="D86" s="2">
        <v>190425840</v>
      </c>
    </row>
    <row r="87" spans="1:4">
      <c r="A87" s="36" t="s">
        <v>289</v>
      </c>
      <c r="B87">
        <v>-3</v>
      </c>
      <c r="C87" t="s">
        <v>420</v>
      </c>
      <c r="D87" s="2">
        <v>-57127752</v>
      </c>
    </row>
    <row r="88" spans="1:4">
      <c r="A88" s="36" t="s">
        <v>750</v>
      </c>
      <c r="B88">
        <v>0</v>
      </c>
      <c r="C88" t="s">
        <v>892</v>
      </c>
      <c r="D88" s="2">
        <v>64955614.960000001</v>
      </c>
    </row>
    <row r="89" spans="1:4">
      <c r="A89" s="36" t="s">
        <v>752</v>
      </c>
      <c r="B89">
        <v>-8</v>
      </c>
      <c r="C89" t="s">
        <v>694</v>
      </c>
      <c r="D89" s="2">
        <v>66011000</v>
      </c>
    </row>
    <row r="90" spans="1:4">
      <c r="A90" s="36" t="s">
        <v>754</v>
      </c>
      <c r="B90">
        <v>-6</v>
      </c>
      <c r="C90" t="s">
        <v>747</v>
      </c>
      <c r="D90" s="2">
        <v>-1055385.04</v>
      </c>
    </row>
    <row r="91" spans="1:4">
      <c r="A91" s="36" t="s">
        <v>322</v>
      </c>
      <c r="B91">
        <v>-8</v>
      </c>
      <c r="C91" t="s">
        <v>33</v>
      </c>
      <c r="D91">
        <v>0</v>
      </c>
    </row>
    <row r="92" spans="1:4">
      <c r="A92" s="36" t="s">
        <v>34</v>
      </c>
      <c r="B92">
        <v>0</v>
      </c>
      <c r="C92" t="s">
        <v>35</v>
      </c>
      <c r="D92">
        <v>0</v>
      </c>
    </row>
    <row r="93" spans="1:4">
      <c r="A93" s="36" t="s">
        <v>421</v>
      </c>
      <c r="B93">
        <v>-8</v>
      </c>
      <c r="C93" t="s">
        <v>422</v>
      </c>
      <c r="D93" s="2">
        <v>1500</v>
      </c>
    </row>
    <row r="94" spans="1:4">
      <c r="A94" s="36" t="s">
        <v>423</v>
      </c>
      <c r="B94">
        <v>0</v>
      </c>
      <c r="C94" t="s">
        <v>424</v>
      </c>
      <c r="D94" s="2">
        <v>1500</v>
      </c>
    </row>
    <row r="95" spans="1:4">
      <c r="A95" s="36" t="s">
        <v>425</v>
      </c>
      <c r="B95">
        <v>-9</v>
      </c>
      <c r="C95" t="s">
        <v>893</v>
      </c>
      <c r="D95" s="2">
        <v>1500</v>
      </c>
    </row>
    <row r="96" spans="1:4">
      <c r="A96" s="36" t="s">
        <v>36</v>
      </c>
      <c r="B96">
        <v>-4</v>
      </c>
      <c r="C96" t="s">
        <v>37</v>
      </c>
      <c r="D96" s="2">
        <v>-1500</v>
      </c>
    </row>
    <row r="97" spans="1:4">
      <c r="A97" s="36" t="s">
        <v>38</v>
      </c>
      <c r="B97">
        <v>0</v>
      </c>
      <c r="C97" t="s">
        <v>426</v>
      </c>
      <c r="D97" s="2">
        <v>-1500</v>
      </c>
    </row>
    <row r="98" spans="1:4">
      <c r="A98" s="36" t="s">
        <v>39</v>
      </c>
      <c r="B98">
        <v>-4</v>
      </c>
      <c r="C98" t="s">
        <v>894</v>
      </c>
      <c r="D98" s="2">
        <v>-1500</v>
      </c>
    </row>
    <row r="99" spans="1:4">
      <c r="A99" s="36">
        <v>3</v>
      </c>
      <c r="B99">
        <v>0</v>
      </c>
      <c r="C99" t="s">
        <v>626</v>
      </c>
      <c r="D99" s="2">
        <v>86861688.530000001</v>
      </c>
    </row>
    <row r="100" spans="1:4">
      <c r="A100" s="36" t="s">
        <v>627</v>
      </c>
      <c r="B100">
        <v>0</v>
      </c>
      <c r="C100" t="s">
        <v>626</v>
      </c>
      <c r="D100" s="2">
        <v>86861688.530000001</v>
      </c>
    </row>
    <row r="101" spans="1:4">
      <c r="A101" s="36" t="s">
        <v>628</v>
      </c>
      <c r="B101">
        <v>-3</v>
      </c>
      <c r="C101" t="s">
        <v>629</v>
      </c>
      <c r="D101" s="2">
        <v>86861688.530000001</v>
      </c>
    </row>
    <row r="102" spans="1:4">
      <c r="A102" s="36" t="s">
        <v>630</v>
      </c>
      <c r="B102">
        <v>-7</v>
      </c>
      <c r="C102" t="s">
        <v>631</v>
      </c>
      <c r="D102" s="2">
        <v>86861688.530000001</v>
      </c>
    </row>
    <row r="103" spans="1:4">
      <c r="A103" s="36" t="s">
        <v>632</v>
      </c>
      <c r="B103">
        <v>-3</v>
      </c>
      <c r="C103" t="s">
        <v>631</v>
      </c>
      <c r="D103" s="2">
        <v>86861688.530000001</v>
      </c>
    </row>
    <row r="104" spans="1:4">
      <c r="A104" s="36" t="s">
        <v>633</v>
      </c>
      <c r="B104">
        <v>-8</v>
      </c>
      <c r="C104" t="s">
        <v>634</v>
      </c>
      <c r="D104" s="2">
        <v>39292916.829999998</v>
      </c>
    </row>
    <row r="105" spans="1:4">
      <c r="A105" s="36" t="s">
        <v>635</v>
      </c>
      <c r="B105">
        <v>-6</v>
      </c>
      <c r="C105" t="s">
        <v>636</v>
      </c>
      <c r="D105" s="2">
        <v>47568771.700000003</v>
      </c>
    </row>
    <row r="106" spans="1:4">
      <c r="A106" s="36">
        <v>8</v>
      </c>
      <c r="B106">
        <v>-1</v>
      </c>
      <c r="C106" t="s">
        <v>40</v>
      </c>
      <c r="D106" s="2">
        <v>154964138.34999999</v>
      </c>
    </row>
    <row r="107" spans="1:4">
      <c r="A107" s="36" t="s">
        <v>41</v>
      </c>
      <c r="B107">
        <v>-9</v>
      </c>
      <c r="C107" t="s">
        <v>42</v>
      </c>
      <c r="D107" s="2">
        <v>117893327.86</v>
      </c>
    </row>
    <row r="108" spans="1:4">
      <c r="A108" s="36" t="s">
        <v>334</v>
      </c>
      <c r="B108">
        <v>-8</v>
      </c>
      <c r="C108" t="s">
        <v>43</v>
      </c>
      <c r="D108" s="2">
        <v>91432682.060000002</v>
      </c>
    </row>
    <row r="109" spans="1:4">
      <c r="A109" s="36" t="s">
        <v>44</v>
      </c>
      <c r="B109">
        <v>-5</v>
      </c>
      <c r="C109" t="s">
        <v>45</v>
      </c>
      <c r="D109" s="2">
        <v>91432682.060000002</v>
      </c>
    </row>
    <row r="110" spans="1:4">
      <c r="A110" s="36" t="s">
        <v>46</v>
      </c>
      <c r="B110">
        <v>0</v>
      </c>
      <c r="C110" t="s">
        <v>47</v>
      </c>
      <c r="D110" s="2">
        <v>91432682.060000002</v>
      </c>
    </row>
    <row r="111" spans="1:4">
      <c r="A111" s="36" t="s">
        <v>48</v>
      </c>
      <c r="B111">
        <v>-5</v>
      </c>
      <c r="C111" t="s">
        <v>895</v>
      </c>
      <c r="D111" s="2">
        <v>79311117.939999998</v>
      </c>
    </row>
    <row r="112" spans="1:4">
      <c r="A112" s="36" t="s">
        <v>49</v>
      </c>
      <c r="B112">
        <v>-3</v>
      </c>
      <c r="C112" t="s">
        <v>896</v>
      </c>
      <c r="D112" s="2">
        <v>12121564.119999999</v>
      </c>
    </row>
    <row r="113" spans="1:4">
      <c r="A113" s="36" t="s">
        <v>51</v>
      </c>
      <c r="B113">
        <v>-6</v>
      </c>
      <c r="C113" t="s">
        <v>52</v>
      </c>
      <c r="D113" s="2">
        <v>6376884.5499999998</v>
      </c>
    </row>
    <row r="114" spans="1:4">
      <c r="A114" s="36" t="s">
        <v>53</v>
      </c>
      <c r="B114">
        <v>0</v>
      </c>
      <c r="C114" t="s">
        <v>54</v>
      </c>
      <c r="D114" s="2">
        <v>10245.780000000001</v>
      </c>
    </row>
    <row r="115" spans="1:4">
      <c r="A115" s="36" t="s">
        <v>55</v>
      </c>
      <c r="B115">
        <v>-1</v>
      </c>
      <c r="C115" t="s">
        <v>54</v>
      </c>
      <c r="D115" s="2">
        <v>10245.780000000001</v>
      </c>
    </row>
    <row r="116" spans="1:4">
      <c r="A116" s="36" t="s">
        <v>56</v>
      </c>
      <c r="B116">
        <v>0</v>
      </c>
      <c r="C116" t="s">
        <v>802</v>
      </c>
      <c r="D116" s="2">
        <v>10245.780000000001</v>
      </c>
    </row>
    <row r="117" spans="1:4">
      <c r="A117" s="36" t="s">
        <v>57</v>
      </c>
      <c r="B117">
        <v>-3</v>
      </c>
      <c r="C117" t="s">
        <v>58</v>
      </c>
      <c r="D117" s="2">
        <v>127646.54</v>
      </c>
    </row>
    <row r="118" spans="1:4">
      <c r="A118" s="36" t="s">
        <v>59</v>
      </c>
      <c r="B118">
        <v>-5</v>
      </c>
      <c r="C118" t="s">
        <v>58</v>
      </c>
      <c r="D118" s="2">
        <v>127646.54</v>
      </c>
    </row>
    <row r="119" spans="1:4">
      <c r="A119" s="36" t="s">
        <v>60</v>
      </c>
      <c r="B119">
        <v>-3</v>
      </c>
      <c r="C119" t="s">
        <v>58</v>
      </c>
      <c r="D119" s="2">
        <v>127646.54</v>
      </c>
    </row>
    <row r="120" spans="1:4">
      <c r="A120" s="36" t="s">
        <v>61</v>
      </c>
      <c r="B120">
        <v>-6</v>
      </c>
      <c r="C120" t="s">
        <v>62</v>
      </c>
      <c r="D120" s="2">
        <v>1430071.61</v>
      </c>
    </row>
    <row r="121" spans="1:4">
      <c r="A121" s="36" t="s">
        <v>63</v>
      </c>
      <c r="B121">
        <v>-3</v>
      </c>
      <c r="C121" t="s">
        <v>803</v>
      </c>
      <c r="D121" s="2">
        <v>1430071.61</v>
      </c>
    </row>
    <row r="122" spans="1:4">
      <c r="A122" s="36" t="s">
        <v>64</v>
      </c>
      <c r="B122">
        <v>-1</v>
      </c>
      <c r="C122" t="s">
        <v>804</v>
      </c>
      <c r="D122" s="2">
        <v>894987.82</v>
      </c>
    </row>
    <row r="123" spans="1:4">
      <c r="A123" s="36" t="s">
        <v>65</v>
      </c>
      <c r="B123">
        <v>0</v>
      </c>
      <c r="C123" t="s">
        <v>805</v>
      </c>
      <c r="D123" s="2">
        <v>80861.39</v>
      </c>
    </row>
    <row r="124" spans="1:4">
      <c r="A124" s="36" t="s">
        <v>66</v>
      </c>
      <c r="B124">
        <v>-8</v>
      </c>
      <c r="C124" t="s">
        <v>806</v>
      </c>
      <c r="D124" s="2">
        <v>219637.62</v>
      </c>
    </row>
    <row r="125" spans="1:4">
      <c r="A125" s="36" t="s">
        <v>67</v>
      </c>
      <c r="B125">
        <v>-4</v>
      </c>
      <c r="C125" t="s">
        <v>897</v>
      </c>
      <c r="D125" s="2">
        <v>32406.45</v>
      </c>
    </row>
    <row r="126" spans="1:4">
      <c r="A126" s="36" t="s">
        <v>68</v>
      </c>
      <c r="B126">
        <v>0</v>
      </c>
      <c r="C126" t="s">
        <v>807</v>
      </c>
      <c r="D126" s="2">
        <v>24075.84</v>
      </c>
    </row>
    <row r="127" spans="1:4">
      <c r="A127" s="36" t="s">
        <v>439</v>
      </c>
      <c r="B127">
        <v>0</v>
      </c>
      <c r="C127" t="s">
        <v>808</v>
      </c>
      <c r="D127" s="2">
        <v>74052.91</v>
      </c>
    </row>
    <row r="128" spans="1:4">
      <c r="A128" s="36" t="s">
        <v>441</v>
      </c>
      <c r="B128">
        <v>-9</v>
      </c>
      <c r="C128" t="s">
        <v>809</v>
      </c>
      <c r="D128" s="2">
        <v>5924.23</v>
      </c>
    </row>
    <row r="129" spans="1:4">
      <c r="A129" s="36" t="s">
        <v>443</v>
      </c>
      <c r="B129">
        <v>-7</v>
      </c>
      <c r="C129" t="s">
        <v>810</v>
      </c>
      <c r="D129" s="2">
        <v>14810.58</v>
      </c>
    </row>
    <row r="130" spans="1:4">
      <c r="A130" s="36" t="s">
        <v>445</v>
      </c>
      <c r="B130">
        <v>-5</v>
      </c>
      <c r="C130" t="s">
        <v>811</v>
      </c>
      <c r="D130" s="2">
        <v>8886.35</v>
      </c>
    </row>
    <row r="131" spans="1:4">
      <c r="A131" s="36" t="s">
        <v>69</v>
      </c>
      <c r="B131">
        <v>-3</v>
      </c>
      <c r="C131" t="s">
        <v>812</v>
      </c>
      <c r="D131" s="2">
        <v>30028.39</v>
      </c>
    </row>
    <row r="132" spans="1:4">
      <c r="A132" s="36" t="s">
        <v>70</v>
      </c>
      <c r="B132">
        <v>-1</v>
      </c>
      <c r="C132" t="s">
        <v>949</v>
      </c>
      <c r="D132" s="2">
        <v>34747.85</v>
      </c>
    </row>
    <row r="133" spans="1:4">
      <c r="A133" s="36" t="s">
        <v>71</v>
      </c>
      <c r="B133">
        <v>0</v>
      </c>
      <c r="C133" t="s">
        <v>813</v>
      </c>
      <c r="D133" s="2">
        <v>9652.18</v>
      </c>
    </row>
    <row r="134" spans="1:4">
      <c r="A134" s="36" t="s">
        <v>72</v>
      </c>
      <c r="B134">
        <v>-8</v>
      </c>
      <c r="C134" t="s">
        <v>73</v>
      </c>
      <c r="D134" s="2">
        <v>55158.82</v>
      </c>
    </row>
    <row r="135" spans="1:4">
      <c r="A135" s="36" t="s">
        <v>74</v>
      </c>
      <c r="B135">
        <v>0</v>
      </c>
      <c r="C135" t="s">
        <v>75</v>
      </c>
      <c r="D135" s="2">
        <v>55158.82</v>
      </c>
    </row>
    <row r="136" spans="1:4">
      <c r="A136" s="36" t="s">
        <v>76</v>
      </c>
      <c r="B136">
        <v>-8</v>
      </c>
      <c r="C136" t="s">
        <v>450</v>
      </c>
      <c r="D136" s="2">
        <v>55158.82</v>
      </c>
    </row>
    <row r="137" spans="1:4">
      <c r="A137" s="155" t="s">
        <v>77</v>
      </c>
      <c r="B137" s="93">
        <v>-5</v>
      </c>
      <c r="C137" s="93" t="s">
        <v>78</v>
      </c>
      <c r="D137" s="94">
        <v>150242.76</v>
      </c>
    </row>
    <row r="138" spans="1:4">
      <c r="A138" s="155" t="s">
        <v>79</v>
      </c>
      <c r="B138" s="93">
        <v>-3</v>
      </c>
      <c r="C138" s="93" t="s">
        <v>451</v>
      </c>
      <c r="D138" s="94">
        <v>150242.76</v>
      </c>
    </row>
    <row r="139" spans="1:4">
      <c r="A139" s="155" t="s">
        <v>80</v>
      </c>
      <c r="B139" s="93">
        <v>-1</v>
      </c>
      <c r="C139" s="93" t="s">
        <v>452</v>
      </c>
      <c r="D139" s="94">
        <v>17825.64</v>
      </c>
    </row>
    <row r="140" spans="1:4">
      <c r="A140" s="155" t="s">
        <v>81</v>
      </c>
      <c r="B140" s="93">
        <v>-8</v>
      </c>
      <c r="C140" s="93" t="s">
        <v>453</v>
      </c>
      <c r="D140" s="94">
        <v>132417.12</v>
      </c>
    </row>
    <row r="141" spans="1:4">
      <c r="A141" s="155" t="s">
        <v>82</v>
      </c>
      <c r="B141" s="93">
        <v>-7</v>
      </c>
      <c r="C141" s="93" t="s">
        <v>83</v>
      </c>
      <c r="D141" s="94">
        <v>865993.56</v>
      </c>
    </row>
    <row r="142" spans="1:4">
      <c r="A142" s="155" t="s">
        <v>84</v>
      </c>
      <c r="B142" s="93">
        <v>-5</v>
      </c>
      <c r="C142" s="93" t="s">
        <v>456</v>
      </c>
      <c r="D142" s="94">
        <v>147656.46</v>
      </c>
    </row>
    <row r="143" spans="1:4">
      <c r="A143" s="155" t="s">
        <v>85</v>
      </c>
      <c r="B143" s="93">
        <v>-3</v>
      </c>
      <c r="C143" s="93" t="s">
        <v>457</v>
      </c>
      <c r="D143" s="94">
        <v>136958.03</v>
      </c>
    </row>
    <row r="144" spans="1:4">
      <c r="A144" s="155" t="s">
        <v>86</v>
      </c>
      <c r="B144" s="93">
        <v>-1</v>
      </c>
      <c r="C144" s="93" t="s">
        <v>458</v>
      </c>
      <c r="D144" s="94">
        <v>10698.43</v>
      </c>
    </row>
    <row r="145" spans="1:4">
      <c r="A145" s="155" t="s">
        <v>87</v>
      </c>
      <c r="B145" s="93">
        <v>-7</v>
      </c>
      <c r="C145" s="93" t="s">
        <v>459</v>
      </c>
      <c r="D145" s="94">
        <v>483736.83</v>
      </c>
    </row>
    <row r="146" spans="1:4">
      <c r="A146" s="36" t="s">
        <v>88</v>
      </c>
      <c r="B146">
        <v>-5</v>
      </c>
      <c r="C146" t="s">
        <v>460</v>
      </c>
      <c r="D146" s="2">
        <v>483736.83</v>
      </c>
    </row>
    <row r="147" spans="1:4">
      <c r="A147" s="36" t="s">
        <v>89</v>
      </c>
      <c r="B147">
        <v>-2</v>
      </c>
      <c r="C147" t="s">
        <v>461</v>
      </c>
      <c r="D147" s="2">
        <v>175719.17</v>
      </c>
    </row>
    <row r="148" spans="1:4">
      <c r="A148" s="36" t="s">
        <v>638</v>
      </c>
      <c r="B148">
        <v>0</v>
      </c>
      <c r="C148" t="s">
        <v>639</v>
      </c>
      <c r="D148" s="2">
        <v>164244.24</v>
      </c>
    </row>
    <row r="149" spans="1:4">
      <c r="A149" s="36" t="s">
        <v>90</v>
      </c>
      <c r="B149">
        <v>-9</v>
      </c>
      <c r="C149" t="s">
        <v>462</v>
      </c>
      <c r="D149" s="2">
        <v>11474.93</v>
      </c>
    </row>
    <row r="150" spans="1:4">
      <c r="A150" s="36" t="s">
        <v>91</v>
      </c>
      <c r="B150">
        <v>0</v>
      </c>
      <c r="C150" t="s">
        <v>463</v>
      </c>
      <c r="D150" s="2">
        <v>58881.1</v>
      </c>
    </row>
    <row r="151" spans="1:4">
      <c r="A151" s="36" t="s">
        <v>92</v>
      </c>
      <c r="B151">
        <v>-9</v>
      </c>
      <c r="C151" t="s">
        <v>464</v>
      </c>
      <c r="D151" s="2">
        <v>58881.1</v>
      </c>
    </row>
    <row r="152" spans="1:4">
      <c r="A152" s="36" t="s">
        <v>93</v>
      </c>
      <c r="B152">
        <v>0</v>
      </c>
      <c r="C152" t="s">
        <v>94</v>
      </c>
      <c r="D152" s="2">
        <v>2104059.1</v>
      </c>
    </row>
    <row r="153" spans="1:4">
      <c r="A153" s="36" t="s">
        <v>95</v>
      </c>
      <c r="B153">
        <v>-2</v>
      </c>
      <c r="C153" t="s">
        <v>465</v>
      </c>
      <c r="D153" s="2">
        <v>2104059.1</v>
      </c>
    </row>
    <row r="154" spans="1:4">
      <c r="A154" s="36" t="s">
        <v>96</v>
      </c>
      <c r="B154">
        <v>0</v>
      </c>
      <c r="C154" t="s">
        <v>466</v>
      </c>
      <c r="D154" s="2">
        <v>522579.44</v>
      </c>
    </row>
    <row r="155" spans="1:4">
      <c r="A155" s="36" t="s">
        <v>97</v>
      </c>
      <c r="B155">
        <v>-9</v>
      </c>
      <c r="C155" t="s">
        <v>467</v>
      </c>
      <c r="D155" s="2">
        <v>699166.62</v>
      </c>
    </row>
    <row r="156" spans="1:4">
      <c r="A156" s="36" t="s">
        <v>98</v>
      </c>
      <c r="B156">
        <v>-7</v>
      </c>
      <c r="C156" t="s">
        <v>468</v>
      </c>
      <c r="D156" s="2">
        <v>47937.13</v>
      </c>
    </row>
    <row r="157" spans="1:4">
      <c r="A157" s="36" t="s">
        <v>99</v>
      </c>
      <c r="B157">
        <v>-5</v>
      </c>
      <c r="C157" t="s">
        <v>469</v>
      </c>
      <c r="D157" s="2">
        <v>36693.57</v>
      </c>
    </row>
    <row r="158" spans="1:4">
      <c r="A158" s="36" t="s">
        <v>100</v>
      </c>
      <c r="B158">
        <v>-1</v>
      </c>
      <c r="C158" t="s">
        <v>470</v>
      </c>
      <c r="D158" s="2">
        <v>393825.44</v>
      </c>
    </row>
    <row r="159" spans="1:4">
      <c r="A159" s="36" t="s">
        <v>101</v>
      </c>
      <c r="B159">
        <v>-8</v>
      </c>
      <c r="C159" t="s">
        <v>471</v>
      </c>
      <c r="D159" s="2">
        <v>22407.08</v>
      </c>
    </row>
    <row r="160" spans="1:4">
      <c r="A160" s="36" t="s">
        <v>102</v>
      </c>
      <c r="B160">
        <v>-4</v>
      </c>
      <c r="C160" t="s">
        <v>472</v>
      </c>
      <c r="D160" s="2">
        <v>133732.03</v>
      </c>
    </row>
    <row r="161" spans="1:4">
      <c r="A161" s="36" t="s">
        <v>103</v>
      </c>
      <c r="B161">
        <v>-2</v>
      </c>
      <c r="C161" t="s">
        <v>473</v>
      </c>
      <c r="D161" s="2">
        <v>223584.45</v>
      </c>
    </row>
    <row r="162" spans="1:4">
      <c r="A162" s="36" t="s">
        <v>104</v>
      </c>
      <c r="B162">
        <v>0</v>
      </c>
      <c r="C162" t="s">
        <v>474</v>
      </c>
      <c r="D162" s="2">
        <v>23948.82</v>
      </c>
    </row>
    <row r="163" spans="1:4">
      <c r="A163" s="36" t="s">
        <v>105</v>
      </c>
      <c r="B163">
        <v>-9</v>
      </c>
      <c r="C163" t="s">
        <v>475</v>
      </c>
      <c r="D163">
        <v>184.52</v>
      </c>
    </row>
    <row r="164" spans="1:4">
      <c r="A164" s="36" t="s">
        <v>605</v>
      </c>
      <c r="B164">
        <v>-4</v>
      </c>
      <c r="C164" t="s">
        <v>950</v>
      </c>
      <c r="D164" s="2">
        <v>16719</v>
      </c>
    </row>
    <row r="165" spans="1:4">
      <c r="A165" s="36" t="s">
        <v>951</v>
      </c>
      <c r="B165">
        <v>0</v>
      </c>
      <c r="C165" t="s">
        <v>952</v>
      </c>
      <c r="D165" s="2">
        <v>16719</v>
      </c>
    </row>
    <row r="166" spans="1:4">
      <c r="A166" s="36" t="s">
        <v>953</v>
      </c>
      <c r="B166">
        <v>0</v>
      </c>
      <c r="C166" t="s">
        <v>954</v>
      </c>
      <c r="D166" s="2">
        <v>16719</v>
      </c>
    </row>
    <row r="167" spans="1:4">
      <c r="A167" s="36" t="s">
        <v>106</v>
      </c>
      <c r="B167">
        <v>-8</v>
      </c>
      <c r="C167" t="s">
        <v>107</v>
      </c>
      <c r="D167" s="2">
        <v>16135.02</v>
      </c>
    </row>
    <row r="168" spans="1:4">
      <c r="A168" s="36" t="s">
        <v>108</v>
      </c>
      <c r="B168">
        <v>0</v>
      </c>
      <c r="C168" t="s">
        <v>478</v>
      </c>
      <c r="D168" s="2">
        <v>16135.02</v>
      </c>
    </row>
    <row r="169" spans="1:4">
      <c r="A169" s="36" t="s">
        <v>109</v>
      </c>
      <c r="B169">
        <v>-8</v>
      </c>
      <c r="C169" t="s">
        <v>479</v>
      </c>
      <c r="D169" s="2">
        <v>16135.02</v>
      </c>
    </row>
    <row r="170" spans="1:4">
      <c r="A170" s="36" t="s">
        <v>110</v>
      </c>
      <c r="B170">
        <v>-1</v>
      </c>
      <c r="C170" t="s">
        <v>111</v>
      </c>
      <c r="D170" s="2">
        <v>1544995</v>
      </c>
    </row>
    <row r="171" spans="1:4">
      <c r="A171" s="36" t="s">
        <v>112</v>
      </c>
      <c r="B171">
        <v>-2</v>
      </c>
      <c r="C171" t="s">
        <v>906</v>
      </c>
      <c r="D171" s="2">
        <v>1544995</v>
      </c>
    </row>
    <row r="172" spans="1:4">
      <c r="A172" s="36" t="s">
        <v>113</v>
      </c>
      <c r="B172">
        <v>0</v>
      </c>
      <c r="C172" t="s">
        <v>481</v>
      </c>
      <c r="D172" s="2">
        <v>1544995</v>
      </c>
    </row>
    <row r="173" spans="1:4">
      <c r="A173" s="36" t="s">
        <v>114</v>
      </c>
      <c r="B173">
        <v>-9</v>
      </c>
      <c r="C173" t="s">
        <v>115</v>
      </c>
      <c r="D173">
        <v>154.9</v>
      </c>
    </row>
    <row r="174" spans="1:4">
      <c r="A174" s="36" t="s">
        <v>116</v>
      </c>
      <c r="B174">
        <v>0</v>
      </c>
      <c r="C174" t="s">
        <v>115</v>
      </c>
      <c r="D174">
        <v>154.9</v>
      </c>
    </row>
    <row r="175" spans="1:4">
      <c r="A175" s="36" t="s">
        <v>117</v>
      </c>
      <c r="B175">
        <v>-6</v>
      </c>
      <c r="C175" t="s">
        <v>679</v>
      </c>
      <c r="D175">
        <v>154.9</v>
      </c>
    </row>
    <row r="176" spans="1:4">
      <c r="A176" s="36" t="s">
        <v>122</v>
      </c>
      <c r="B176">
        <v>0</v>
      </c>
      <c r="C176" t="s">
        <v>123</v>
      </c>
      <c r="D176" s="2">
        <v>55462.46</v>
      </c>
    </row>
    <row r="177" spans="1:4">
      <c r="A177" s="36" t="s">
        <v>124</v>
      </c>
      <c r="B177">
        <v>-7</v>
      </c>
      <c r="C177" t="s">
        <v>836</v>
      </c>
      <c r="D177" s="2">
        <v>55462.46</v>
      </c>
    </row>
    <row r="178" spans="1:4">
      <c r="A178" s="36" t="s">
        <v>125</v>
      </c>
      <c r="B178">
        <v>-6</v>
      </c>
      <c r="C178" t="s">
        <v>955</v>
      </c>
      <c r="D178" s="2">
        <v>55462.46</v>
      </c>
    </row>
    <row r="179" spans="1:4">
      <c r="A179" s="36" t="s">
        <v>126</v>
      </c>
      <c r="B179">
        <v>-4</v>
      </c>
      <c r="C179" t="s">
        <v>127</v>
      </c>
      <c r="D179">
        <v>75</v>
      </c>
    </row>
    <row r="180" spans="1:4">
      <c r="A180" s="36" t="s">
        <v>128</v>
      </c>
      <c r="B180">
        <v>-1</v>
      </c>
      <c r="C180" t="s">
        <v>129</v>
      </c>
      <c r="D180">
        <v>75</v>
      </c>
    </row>
    <row r="181" spans="1:4">
      <c r="A181" s="36" t="s">
        <v>130</v>
      </c>
      <c r="B181">
        <v>-7</v>
      </c>
      <c r="C181" t="s">
        <v>129</v>
      </c>
      <c r="D181">
        <v>75</v>
      </c>
    </row>
    <row r="182" spans="1:4">
      <c r="A182" s="36" t="s">
        <v>131</v>
      </c>
      <c r="B182">
        <v>-1</v>
      </c>
      <c r="C182" t="s">
        <v>489</v>
      </c>
      <c r="D182">
        <v>75</v>
      </c>
    </row>
    <row r="183" spans="1:4">
      <c r="A183" s="36" t="s">
        <v>337</v>
      </c>
      <c r="B183">
        <v>-2</v>
      </c>
      <c r="C183" t="s">
        <v>132</v>
      </c>
      <c r="D183" s="2">
        <v>20083686.25</v>
      </c>
    </row>
    <row r="184" spans="1:4">
      <c r="A184" s="36" t="s">
        <v>133</v>
      </c>
      <c r="B184">
        <v>-3</v>
      </c>
      <c r="C184" t="s">
        <v>134</v>
      </c>
      <c r="D184" s="2">
        <v>6514195.5499999998</v>
      </c>
    </row>
    <row r="185" spans="1:4">
      <c r="A185" s="36" t="s">
        <v>135</v>
      </c>
      <c r="B185">
        <v>-5</v>
      </c>
      <c r="C185" t="s">
        <v>134</v>
      </c>
      <c r="D185" s="2">
        <v>6514195.5499999998</v>
      </c>
    </row>
    <row r="186" spans="1:4">
      <c r="A186" s="36" t="s">
        <v>136</v>
      </c>
      <c r="B186">
        <v>-3</v>
      </c>
      <c r="C186" t="s">
        <v>134</v>
      </c>
      <c r="D186" s="2">
        <v>6487066.3499999996</v>
      </c>
    </row>
    <row r="187" spans="1:4">
      <c r="A187" s="36" t="s">
        <v>759</v>
      </c>
      <c r="B187">
        <v>-1</v>
      </c>
      <c r="C187" t="s">
        <v>956</v>
      </c>
      <c r="D187" s="2">
        <v>27129.200000000001</v>
      </c>
    </row>
    <row r="188" spans="1:4">
      <c r="A188" s="36" t="s">
        <v>137</v>
      </c>
      <c r="B188">
        <v>-7</v>
      </c>
      <c r="C188" t="s">
        <v>138</v>
      </c>
      <c r="D188" s="2">
        <v>1414266.15</v>
      </c>
    </row>
    <row r="189" spans="1:4">
      <c r="A189" s="36" t="s">
        <v>139</v>
      </c>
      <c r="B189">
        <v>-9</v>
      </c>
      <c r="C189" t="s">
        <v>138</v>
      </c>
      <c r="D189" s="2">
        <v>1414266.15</v>
      </c>
    </row>
    <row r="190" spans="1:4">
      <c r="A190" s="36" t="s">
        <v>140</v>
      </c>
      <c r="B190">
        <v>-7</v>
      </c>
      <c r="C190" t="s">
        <v>837</v>
      </c>
      <c r="D190" s="2">
        <v>1408376.26</v>
      </c>
    </row>
    <row r="191" spans="1:4">
      <c r="A191" s="36" t="s">
        <v>761</v>
      </c>
      <c r="B191">
        <v>-5</v>
      </c>
      <c r="C191" t="s">
        <v>762</v>
      </c>
      <c r="D191" s="2">
        <v>5889.89</v>
      </c>
    </row>
    <row r="192" spans="1:4">
      <c r="A192" s="36" t="s">
        <v>141</v>
      </c>
      <c r="B192">
        <v>-6</v>
      </c>
      <c r="C192" t="s">
        <v>132</v>
      </c>
      <c r="D192" s="2">
        <v>12155224.550000001</v>
      </c>
    </row>
    <row r="193" spans="1:7">
      <c r="A193" s="36" t="s">
        <v>142</v>
      </c>
      <c r="B193">
        <v>-3</v>
      </c>
      <c r="C193" t="s">
        <v>132</v>
      </c>
      <c r="D193" s="2">
        <v>12155224.550000001</v>
      </c>
    </row>
    <row r="194" spans="1:7">
      <c r="A194" s="36" t="s">
        <v>502</v>
      </c>
      <c r="B194">
        <v>0</v>
      </c>
      <c r="C194" t="s">
        <v>503</v>
      </c>
      <c r="D194" s="2">
        <v>15196.39</v>
      </c>
    </row>
    <row r="195" spans="1:7">
      <c r="A195" s="36" t="s">
        <v>338</v>
      </c>
      <c r="B195">
        <v>-8</v>
      </c>
      <c r="C195" t="s">
        <v>504</v>
      </c>
      <c r="D195" s="2">
        <v>11692228.73</v>
      </c>
      <c r="G195" s="6">
        <v>929734673.10000014</v>
      </c>
    </row>
    <row r="196" spans="1:7">
      <c r="A196" s="36" t="s">
        <v>145</v>
      </c>
      <c r="B196">
        <v>-6</v>
      </c>
      <c r="C196" t="s">
        <v>505</v>
      </c>
      <c r="D196" s="2">
        <v>12677.59</v>
      </c>
      <c r="G196" s="2">
        <f>SUM(D106:D210)</f>
        <v>929784830.10000014</v>
      </c>
    </row>
    <row r="197" spans="1:7">
      <c r="A197" s="36" t="s">
        <v>146</v>
      </c>
      <c r="B197">
        <v>-4</v>
      </c>
      <c r="C197" t="s">
        <v>506</v>
      </c>
      <c r="D197" s="2">
        <v>435121.84</v>
      </c>
      <c r="G197" s="2">
        <f>+G195-G196</f>
        <v>-50157</v>
      </c>
    </row>
    <row r="198" spans="1:7">
      <c r="A198" s="36" t="s">
        <v>147</v>
      </c>
      <c r="B198">
        <v>-7</v>
      </c>
      <c r="C198" t="s">
        <v>148</v>
      </c>
      <c r="D198" s="2">
        <v>37070810.490000002</v>
      </c>
    </row>
    <row r="199" spans="1:7">
      <c r="A199" s="36" t="s">
        <v>149</v>
      </c>
      <c r="B199">
        <v>0</v>
      </c>
      <c r="C199" t="s">
        <v>150</v>
      </c>
      <c r="D199" s="2">
        <v>37070810.490000002</v>
      </c>
    </row>
    <row r="200" spans="1:7">
      <c r="A200" s="36" t="s">
        <v>151</v>
      </c>
      <c r="B200">
        <v>-3</v>
      </c>
      <c r="C200" t="s">
        <v>150</v>
      </c>
      <c r="D200" s="2">
        <v>27234173.899999999</v>
      </c>
    </row>
    <row r="201" spans="1:7">
      <c r="A201" s="36" t="s">
        <v>341</v>
      </c>
      <c r="B201">
        <v>-5</v>
      </c>
      <c r="C201" t="s">
        <v>150</v>
      </c>
      <c r="D201" s="2">
        <v>27245273.91</v>
      </c>
    </row>
    <row r="202" spans="1:7">
      <c r="A202" s="36" t="s">
        <v>152</v>
      </c>
      <c r="B202">
        <v>-3</v>
      </c>
      <c r="C202" t="s">
        <v>150</v>
      </c>
      <c r="D202" s="2">
        <v>27245273.91</v>
      </c>
    </row>
    <row r="203" spans="1:7">
      <c r="A203" s="36" t="s">
        <v>153</v>
      </c>
      <c r="B203">
        <v>-6</v>
      </c>
      <c r="C203" t="s">
        <v>511</v>
      </c>
      <c r="D203" s="2">
        <v>-11100.01</v>
      </c>
    </row>
    <row r="204" spans="1:7">
      <c r="A204" s="36" t="s">
        <v>343</v>
      </c>
      <c r="B204">
        <v>-4</v>
      </c>
      <c r="C204" t="s">
        <v>512</v>
      </c>
      <c r="D204" s="2">
        <v>-11100.01</v>
      </c>
    </row>
    <row r="205" spans="1:7">
      <c r="A205" s="36" t="s">
        <v>154</v>
      </c>
      <c r="B205">
        <v>-7</v>
      </c>
      <c r="C205" t="s">
        <v>155</v>
      </c>
      <c r="D205" s="2">
        <v>9836636.5899999999</v>
      </c>
    </row>
    <row r="206" spans="1:7">
      <c r="A206" s="36" t="s">
        <v>342</v>
      </c>
      <c r="B206">
        <v>-9</v>
      </c>
      <c r="C206" t="s">
        <v>155</v>
      </c>
      <c r="D206" s="2">
        <v>9840632.5899999999</v>
      </c>
    </row>
    <row r="207" spans="1:7">
      <c r="A207" s="36" t="s">
        <v>156</v>
      </c>
      <c r="B207">
        <v>-7</v>
      </c>
      <c r="C207" t="s">
        <v>155</v>
      </c>
      <c r="D207" s="2">
        <v>9811477.6199999992</v>
      </c>
    </row>
    <row r="208" spans="1:7">
      <c r="A208" s="36" t="s">
        <v>765</v>
      </c>
      <c r="B208">
        <v>-5</v>
      </c>
      <c r="C208" t="s">
        <v>957</v>
      </c>
      <c r="D208" s="2">
        <v>29154.97</v>
      </c>
    </row>
    <row r="209" spans="1:4">
      <c r="A209" s="36" t="s">
        <v>157</v>
      </c>
      <c r="B209">
        <v>0</v>
      </c>
      <c r="C209" t="s">
        <v>517</v>
      </c>
      <c r="D209" s="2">
        <v>-3996</v>
      </c>
    </row>
    <row r="210" spans="1:4">
      <c r="A210" s="36" t="s">
        <v>344</v>
      </c>
      <c r="B210">
        <v>-8</v>
      </c>
      <c r="C210" t="s">
        <v>518</v>
      </c>
      <c r="D210" s="2">
        <v>-3996</v>
      </c>
    </row>
    <row r="211" spans="1:4">
      <c r="A211" s="36">
        <v>4</v>
      </c>
      <c r="B211">
        <v>-6</v>
      </c>
      <c r="C211" t="s">
        <v>346</v>
      </c>
      <c r="D211" s="2">
        <v>394276170.77999997</v>
      </c>
    </row>
    <row r="212" spans="1:4">
      <c r="A212" s="36" t="s">
        <v>158</v>
      </c>
      <c r="B212">
        <v>-1</v>
      </c>
      <c r="C212" t="s">
        <v>159</v>
      </c>
      <c r="D212" s="2">
        <v>394276170.77999997</v>
      </c>
    </row>
    <row r="213" spans="1:4">
      <c r="A213" s="36" t="s">
        <v>160</v>
      </c>
      <c r="B213">
        <v>-4</v>
      </c>
      <c r="C213" t="s">
        <v>161</v>
      </c>
      <c r="D213" s="2">
        <v>389995236.61000001</v>
      </c>
    </row>
    <row r="214" spans="1:4">
      <c r="A214" s="36" t="s">
        <v>324</v>
      </c>
      <c r="B214">
        <v>-8</v>
      </c>
      <c r="C214" t="s">
        <v>519</v>
      </c>
      <c r="D214" s="2">
        <v>37577695.270000003</v>
      </c>
    </row>
    <row r="215" spans="1:4">
      <c r="A215" s="36" t="s">
        <v>162</v>
      </c>
      <c r="B215">
        <v>0</v>
      </c>
      <c r="C215" t="s">
        <v>844</v>
      </c>
      <c r="D215" s="2">
        <v>37577695.270000003</v>
      </c>
    </row>
    <row r="216" spans="1:4">
      <c r="A216" s="36" t="s">
        <v>301</v>
      </c>
      <c r="B216">
        <v>-8</v>
      </c>
      <c r="C216" t="s">
        <v>845</v>
      </c>
      <c r="D216" s="2">
        <v>27245273.91</v>
      </c>
    </row>
    <row r="217" spans="1:4">
      <c r="A217" s="36" t="s">
        <v>163</v>
      </c>
      <c r="B217">
        <v>-6</v>
      </c>
      <c r="C217" t="s">
        <v>846</v>
      </c>
      <c r="D217" s="2">
        <v>9811477.6199999992</v>
      </c>
    </row>
    <row r="218" spans="1:4">
      <c r="A218" s="36" t="s">
        <v>164</v>
      </c>
      <c r="B218">
        <v>-4</v>
      </c>
      <c r="C218" t="s">
        <v>847</v>
      </c>
      <c r="D218" s="2">
        <v>428018.64</v>
      </c>
    </row>
    <row r="219" spans="1:4">
      <c r="A219" s="36" t="s">
        <v>165</v>
      </c>
      <c r="B219">
        <v>-2</v>
      </c>
      <c r="C219" t="s">
        <v>848</v>
      </c>
      <c r="D219" s="2">
        <v>92925.1</v>
      </c>
    </row>
    <row r="220" spans="1:4">
      <c r="A220" s="36" t="s">
        <v>525</v>
      </c>
      <c r="B220">
        <v>-1</v>
      </c>
      <c r="C220" t="s">
        <v>526</v>
      </c>
      <c r="D220" s="2">
        <v>39323.769999999997</v>
      </c>
    </row>
    <row r="221" spans="1:4">
      <c r="A221" s="36" t="s">
        <v>527</v>
      </c>
      <c r="B221">
        <v>-9</v>
      </c>
      <c r="C221" t="s">
        <v>528</v>
      </c>
      <c r="D221" s="2">
        <v>39323.769999999997</v>
      </c>
    </row>
    <row r="222" spans="1:4">
      <c r="A222" s="36" t="s">
        <v>529</v>
      </c>
      <c r="B222">
        <v>-5</v>
      </c>
      <c r="C222" t="s">
        <v>850</v>
      </c>
      <c r="D222" s="2">
        <v>39323.769999999997</v>
      </c>
    </row>
    <row r="223" spans="1:4">
      <c r="A223" s="36" t="s">
        <v>326</v>
      </c>
      <c r="B223">
        <v>-5</v>
      </c>
      <c r="C223" t="s">
        <v>531</v>
      </c>
      <c r="D223" s="2">
        <v>352378217.56999999</v>
      </c>
    </row>
    <row r="224" spans="1:4">
      <c r="A224" s="36" t="s">
        <v>166</v>
      </c>
      <c r="B224">
        <v>-1</v>
      </c>
      <c r="C224" t="s">
        <v>167</v>
      </c>
      <c r="D224" s="2">
        <v>352378217.56999999</v>
      </c>
    </row>
    <row r="225" spans="1:4">
      <c r="A225" s="36" t="s">
        <v>168</v>
      </c>
      <c r="B225">
        <v>0</v>
      </c>
      <c r="C225" t="s">
        <v>909</v>
      </c>
      <c r="D225" s="2">
        <v>271104099.31999999</v>
      </c>
    </row>
    <row r="226" spans="1:4">
      <c r="A226" s="36" t="s">
        <v>169</v>
      </c>
      <c r="B226">
        <v>-8</v>
      </c>
      <c r="C226" t="s">
        <v>910</v>
      </c>
      <c r="D226" s="2">
        <v>81274118.25</v>
      </c>
    </row>
    <row r="227" spans="1:4">
      <c r="A227" s="36" t="s">
        <v>325</v>
      </c>
      <c r="B227">
        <v>-5</v>
      </c>
      <c r="C227" t="s">
        <v>170</v>
      </c>
      <c r="D227" s="2">
        <v>4280934.17</v>
      </c>
    </row>
    <row r="228" spans="1:4">
      <c r="A228" s="36" t="s">
        <v>171</v>
      </c>
      <c r="B228">
        <v>-6</v>
      </c>
      <c r="C228" t="s">
        <v>172</v>
      </c>
      <c r="D228" s="2">
        <v>607030.56999999995</v>
      </c>
    </row>
    <row r="229" spans="1:4">
      <c r="A229" s="36" t="s">
        <v>173</v>
      </c>
      <c r="B229">
        <v>-8</v>
      </c>
      <c r="C229" t="s">
        <v>851</v>
      </c>
      <c r="D229" s="2">
        <v>607030.56999999995</v>
      </c>
    </row>
    <row r="230" spans="1:4">
      <c r="A230" s="36" t="s">
        <v>535</v>
      </c>
      <c r="B230">
        <v>-6</v>
      </c>
      <c r="C230" t="s">
        <v>852</v>
      </c>
      <c r="D230" s="2">
        <v>74052.91</v>
      </c>
    </row>
    <row r="231" spans="1:4">
      <c r="A231" s="36" t="s">
        <v>537</v>
      </c>
      <c r="B231">
        <v>-4</v>
      </c>
      <c r="C231" t="s">
        <v>853</v>
      </c>
      <c r="D231" s="2">
        <v>8886.35</v>
      </c>
    </row>
    <row r="232" spans="1:4">
      <c r="A232" s="36" t="s">
        <v>539</v>
      </c>
      <c r="B232">
        <v>-2</v>
      </c>
      <c r="C232" t="s">
        <v>854</v>
      </c>
      <c r="D232" s="2">
        <v>5924.23</v>
      </c>
    </row>
    <row r="233" spans="1:4">
      <c r="A233" s="36" t="s">
        <v>541</v>
      </c>
      <c r="B233">
        <v>0</v>
      </c>
      <c r="C233" t="s">
        <v>855</v>
      </c>
      <c r="D233" s="2">
        <v>14810.58</v>
      </c>
    </row>
    <row r="234" spans="1:4">
      <c r="A234" s="36" t="s">
        <v>174</v>
      </c>
      <c r="B234">
        <v>-9</v>
      </c>
      <c r="C234" t="s">
        <v>856</v>
      </c>
      <c r="D234" s="2">
        <v>346807.75</v>
      </c>
    </row>
    <row r="235" spans="1:4">
      <c r="A235" s="36" t="s">
        <v>175</v>
      </c>
      <c r="B235">
        <v>-7</v>
      </c>
      <c r="C235" t="s">
        <v>857</v>
      </c>
      <c r="D235" s="2">
        <v>122733.11</v>
      </c>
    </row>
    <row r="236" spans="1:4">
      <c r="A236" s="36" t="s">
        <v>176</v>
      </c>
      <c r="B236">
        <v>-5</v>
      </c>
      <c r="C236" t="s">
        <v>858</v>
      </c>
      <c r="D236" s="2">
        <v>33815.64</v>
      </c>
    </row>
    <row r="237" spans="1:4">
      <c r="A237" s="36" t="s">
        <v>177</v>
      </c>
      <c r="B237">
        <v>-7</v>
      </c>
      <c r="C237" t="s">
        <v>178</v>
      </c>
      <c r="D237" s="2">
        <v>3673903.6</v>
      </c>
    </row>
    <row r="238" spans="1:4">
      <c r="A238" s="36" t="s">
        <v>179</v>
      </c>
      <c r="B238">
        <v>0</v>
      </c>
      <c r="C238" t="s">
        <v>859</v>
      </c>
      <c r="D238" s="2">
        <v>3673903.6</v>
      </c>
    </row>
    <row r="239" spans="1:4">
      <c r="A239" s="36" t="s">
        <v>180</v>
      </c>
      <c r="B239">
        <v>-9</v>
      </c>
      <c r="C239" t="s">
        <v>860</v>
      </c>
      <c r="D239" s="2">
        <v>158033.73000000001</v>
      </c>
    </row>
    <row r="240" spans="1:4">
      <c r="A240" s="36" t="s">
        <v>181</v>
      </c>
      <c r="B240">
        <v>-7</v>
      </c>
      <c r="C240" t="s">
        <v>861</v>
      </c>
      <c r="D240" s="2">
        <v>547790.35</v>
      </c>
    </row>
    <row r="241" spans="1:4">
      <c r="A241" s="36" t="s">
        <v>182</v>
      </c>
      <c r="B241">
        <v>-5</v>
      </c>
      <c r="C241" t="s">
        <v>862</v>
      </c>
      <c r="D241" s="2">
        <v>34023.81</v>
      </c>
    </row>
    <row r="242" spans="1:4">
      <c r="A242" s="36" t="s">
        <v>183</v>
      </c>
      <c r="B242">
        <v>-1</v>
      </c>
      <c r="C242" t="s">
        <v>863</v>
      </c>
      <c r="D242" s="2">
        <v>2934055.71</v>
      </c>
    </row>
    <row r="243" spans="1:4">
      <c r="A243" s="36">
        <v>6</v>
      </c>
      <c r="B243">
        <v>-9</v>
      </c>
      <c r="C243" t="s">
        <v>184</v>
      </c>
      <c r="D243" s="2">
        <v>5797688389.0799999</v>
      </c>
    </row>
    <row r="244" spans="1:4">
      <c r="A244" s="36" t="s">
        <v>185</v>
      </c>
      <c r="B244">
        <v>-6</v>
      </c>
      <c r="C244" t="s">
        <v>184</v>
      </c>
      <c r="D244" s="2">
        <v>5797688389.0799999</v>
      </c>
    </row>
    <row r="245" spans="1:4">
      <c r="A245" s="36" t="s">
        <v>186</v>
      </c>
      <c r="B245">
        <v>-4</v>
      </c>
      <c r="C245" t="s">
        <v>187</v>
      </c>
      <c r="D245" s="2">
        <v>4000000000</v>
      </c>
    </row>
    <row r="246" spans="1:4">
      <c r="A246" s="36" t="s">
        <v>327</v>
      </c>
      <c r="B246">
        <v>-8</v>
      </c>
      <c r="C246" t="s">
        <v>188</v>
      </c>
      <c r="D246" s="2">
        <v>4000000000</v>
      </c>
    </row>
    <row r="247" spans="1:4">
      <c r="A247" s="36" t="s">
        <v>189</v>
      </c>
      <c r="B247">
        <v>-3</v>
      </c>
      <c r="C247" t="s">
        <v>190</v>
      </c>
      <c r="D247" s="2">
        <v>4000000000</v>
      </c>
    </row>
    <row r="248" spans="1:4">
      <c r="A248" s="36" t="s">
        <v>191</v>
      </c>
      <c r="B248">
        <v>-3</v>
      </c>
      <c r="C248" t="s">
        <v>188</v>
      </c>
      <c r="D248" s="2">
        <v>4000000000</v>
      </c>
    </row>
    <row r="249" spans="1:4">
      <c r="A249" s="36" t="s">
        <v>291</v>
      </c>
      <c r="B249">
        <v>0</v>
      </c>
      <c r="C249" t="s">
        <v>292</v>
      </c>
      <c r="D249" s="2">
        <v>167259.56</v>
      </c>
    </row>
    <row r="250" spans="1:4">
      <c r="A250" s="36" t="s">
        <v>293</v>
      </c>
      <c r="B250">
        <v>-4</v>
      </c>
      <c r="C250" t="s">
        <v>294</v>
      </c>
      <c r="D250" s="2">
        <v>167259.56</v>
      </c>
    </row>
    <row r="251" spans="1:4">
      <c r="A251" s="36" t="s">
        <v>295</v>
      </c>
      <c r="B251">
        <v>-5</v>
      </c>
      <c r="C251" t="s">
        <v>294</v>
      </c>
      <c r="D251" s="2">
        <v>167259.56</v>
      </c>
    </row>
    <row r="252" spans="1:4">
      <c r="A252" s="36" t="s">
        <v>296</v>
      </c>
      <c r="B252">
        <v>-8</v>
      </c>
      <c r="C252" t="s">
        <v>294</v>
      </c>
      <c r="D252" s="2">
        <v>167259.56</v>
      </c>
    </row>
    <row r="253" spans="1:4">
      <c r="A253" s="36" t="s">
        <v>330</v>
      </c>
      <c r="B253">
        <v>-7</v>
      </c>
      <c r="C253" t="s">
        <v>196</v>
      </c>
      <c r="D253" s="2">
        <v>1358513588.04</v>
      </c>
    </row>
    <row r="254" spans="1:4">
      <c r="A254" s="36" t="s">
        <v>197</v>
      </c>
      <c r="B254">
        <v>0</v>
      </c>
      <c r="C254" t="s">
        <v>198</v>
      </c>
      <c r="D254" s="2">
        <v>144135793.43000001</v>
      </c>
    </row>
    <row r="255" spans="1:4">
      <c r="A255" s="36" t="s">
        <v>199</v>
      </c>
      <c r="B255">
        <v>-1</v>
      </c>
      <c r="C255" t="s">
        <v>198</v>
      </c>
      <c r="D255" s="2">
        <v>144135793.43000001</v>
      </c>
    </row>
    <row r="256" spans="1:4">
      <c r="A256" s="36" t="s">
        <v>200</v>
      </c>
      <c r="B256">
        <v>0</v>
      </c>
      <c r="C256" t="s">
        <v>198</v>
      </c>
      <c r="D256" s="2">
        <v>144135793.43000001</v>
      </c>
    </row>
    <row r="257" spans="1:13">
      <c r="A257" s="36" t="s">
        <v>201</v>
      </c>
      <c r="B257">
        <v>-4</v>
      </c>
      <c r="C257" t="s">
        <v>202</v>
      </c>
      <c r="D257" s="2">
        <v>1214377794.6099999</v>
      </c>
    </row>
    <row r="258" spans="1:13">
      <c r="A258" s="36" t="s">
        <v>203</v>
      </c>
      <c r="B258">
        <v>0</v>
      </c>
      <c r="C258" t="s">
        <v>202</v>
      </c>
      <c r="D258" s="2">
        <v>1214377794.6099999</v>
      </c>
    </row>
    <row r="259" spans="1:13">
      <c r="A259" s="36" t="s">
        <v>204</v>
      </c>
      <c r="B259">
        <v>-4</v>
      </c>
      <c r="C259" t="s">
        <v>913</v>
      </c>
      <c r="D259" s="2">
        <v>1214377794.6099999</v>
      </c>
    </row>
    <row r="260" spans="1:13">
      <c r="A260" s="36" t="s">
        <v>329</v>
      </c>
      <c r="B260">
        <v>-5</v>
      </c>
      <c r="C260" t="s">
        <v>205</v>
      </c>
      <c r="D260" s="2">
        <v>439007541.48000002</v>
      </c>
    </row>
    <row r="261" spans="1:13">
      <c r="A261" s="36" t="s">
        <v>206</v>
      </c>
      <c r="B261">
        <v>-9</v>
      </c>
      <c r="C261" t="s">
        <v>207</v>
      </c>
      <c r="D261" s="2">
        <v>428027204.41000003</v>
      </c>
    </row>
    <row r="262" spans="1:13">
      <c r="A262" s="36" t="s">
        <v>208</v>
      </c>
      <c r="B262">
        <v>-4</v>
      </c>
      <c r="C262" t="s">
        <v>209</v>
      </c>
      <c r="D262" s="2">
        <v>525655388.17000002</v>
      </c>
    </row>
    <row r="263" spans="1:13">
      <c r="A263" s="36" t="s">
        <v>210</v>
      </c>
      <c r="B263">
        <v>-9</v>
      </c>
      <c r="C263" t="s">
        <v>914</v>
      </c>
      <c r="D263" s="2">
        <v>877628162.90999997</v>
      </c>
    </row>
    <row r="264" spans="1:13">
      <c r="A264" s="36" t="s">
        <v>211</v>
      </c>
      <c r="B264">
        <v>-7</v>
      </c>
      <c r="C264" t="s">
        <v>915</v>
      </c>
      <c r="D264" s="2">
        <v>-351972774.74000001</v>
      </c>
    </row>
    <row r="265" spans="1:13">
      <c r="A265" s="36" t="s">
        <v>213</v>
      </c>
      <c r="B265">
        <v>0</v>
      </c>
      <c r="C265" t="s">
        <v>864</v>
      </c>
      <c r="D265" s="2">
        <v>-97628183.760000005</v>
      </c>
    </row>
    <row r="266" spans="1:13">
      <c r="A266" s="36" t="s">
        <v>214</v>
      </c>
      <c r="B266">
        <v>-1</v>
      </c>
      <c r="C266" t="s">
        <v>865</v>
      </c>
      <c r="D266" s="2">
        <v>-97628183.760000005</v>
      </c>
    </row>
    <row r="267" spans="1:13">
      <c r="A267" s="36" t="s">
        <v>297</v>
      </c>
      <c r="B267">
        <v>-8</v>
      </c>
      <c r="C267" t="s">
        <v>298</v>
      </c>
      <c r="D267" s="2">
        <v>10980337.07</v>
      </c>
    </row>
    <row r="268" spans="1:13">
      <c r="A268" s="36" t="s">
        <v>299</v>
      </c>
      <c r="B268">
        <v>-9</v>
      </c>
      <c r="C268" t="s">
        <v>298</v>
      </c>
      <c r="D268" s="2">
        <v>10980337.07</v>
      </c>
    </row>
    <row r="269" spans="1:13">
      <c r="A269" s="36" t="s">
        <v>300</v>
      </c>
      <c r="B269">
        <v>-7</v>
      </c>
      <c r="C269" t="s">
        <v>916</v>
      </c>
      <c r="D269" s="2">
        <v>10980337.07</v>
      </c>
    </row>
    <row r="270" spans="1:13">
      <c r="A270" s="36">
        <v>7</v>
      </c>
      <c r="B270">
        <v>-5</v>
      </c>
      <c r="C270" t="s">
        <v>215</v>
      </c>
      <c r="D270" s="2">
        <v>605440133.54999995</v>
      </c>
      <c r="L270" s="6">
        <v>154964138.34999999</v>
      </c>
      <c r="M270" s="2">
        <f>+D270-L270</f>
        <v>450475995.19999993</v>
      </c>
    </row>
    <row r="271" spans="1:13">
      <c r="A271" s="36" t="s">
        <v>216</v>
      </c>
      <c r="B271">
        <v>-2</v>
      </c>
      <c r="C271" t="s">
        <v>217</v>
      </c>
      <c r="D271" s="2">
        <v>605440133.54999995</v>
      </c>
      <c r="F271" t="s">
        <v>221</v>
      </c>
      <c r="G271">
        <v>6815871.7300000004</v>
      </c>
      <c r="H271" s="6">
        <f>+D274</f>
        <v>5572985.2599999998</v>
      </c>
      <c r="I271" s="7">
        <f>+H271+G271</f>
        <v>12388856.99</v>
      </c>
    </row>
    <row r="272" spans="1:13">
      <c r="A272" s="36" t="s">
        <v>339</v>
      </c>
      <c r="B272">
        <v>-5</v>
      </c>
      <c r="C272" t="s">
        <v>218</v>
      </c>
      <c r="D272" s="2">
        <v>5572985.2599999998</v>
      </c>
      <c r="F272" t="s">
        <v>228</v>
      </c>
      <c r="G272">
        <v>41161085.460000001</v>
      </c>
      <c r="H272" s="6">
        <f>+D279</f>
        <v>22893814.34</v>
      </c>
      <c r="I272" s="7">
        <f>+H272+G272</f>
        <v>64054899.799999997</v>
      </c>
    </row>
    <row r="273" spans="1:9">
      <c r="A273" s="36" t="s">
        <v>219</v>
      </c>
      <c r="B273">
        <v>-9</v>
      </c>
      <c r="C273" t="s">
        <v>220</v>
      </c>
      <c r="D273" s="2">
        <v>5572985.2599999998</v>
      </c>
      <c r="F273" t="s">
        <v>581</v>
      </c>
      <c r="G273">
        <v>1342667.12</v>
      </c>
      <c r="H273" s="6">
        <f>+D287</f>
        <v>21576708.93</v>
      </c>
      <c r="I273" s="7">
        <f>+H273+G273</f>
        <v>22919376.050000001</v>
      </c>
    </row>
    <row r="274" spans="1:9">
      <c r="A274" s="36" t="s">
        <v>221</v>
      </c>
      <c r="B274">
        <v>0</v>
      </c>
      <c r="C274" t="s">
        <v>917</v>
      </c>
      <c r="D274" s="2">
        <v>5572985.2599999998</v>
      </c>
      <c r="H274" s="6">
        <f>+D296</f>
        <v>35692463.979999997</v>
      </c>
    </row>
    <row r="275" spans="1:9">
      <c r="A275" s="36" t="s">
        <v>223</v>
      </c>
      <c r="B275">
        <v>-9</v>
      </c>
      <c r="C275" t="s">
        <v>918</v>
      </c>
      <c r="D275" s="2">
        <v>5572985.2599999998</v>
      </c>
    </row>
    <row r="276" spans="1:9">
      <c r="A276" s="36" t="s">
        <v>340</v>
      </c>
      <c r="B276">
        <v>-3</v>
      </c>
      <c r="C276" t="s">
        <v>224</v>
      </c>
      <c r="D276" s="2">
        <v>53338295.229999997</v>
      </c>
    </row>
    <row r="277" spans="1:9">
      <c r="A277" s="36" t="s">
        <v>225</v>
      </c>
      <c r="B277">
        <v>-7</v>
      </c>
      <c r="C277" t="s">
        <v>226</v>
      </c>
      <c r="D277" s="2">
        <v>22893814.34</v>
      </c>
    </row>
    <row r="278" spans="1:9">
      <c r="A278" s="36" t="s">
        <v>227</v>
      </c>
      <c r="B278">
        <v>-5</v>
      </c>
      <c r="C278" t="s">
        <v>870</v>
      </c>
      <c r="D278" s="2">
        <v>22893814.34</v>
      </c>
    </row>
    <row r="279" spans="1:9">
      <c r="A279" s="36" t="s">
        <v>228</v>
      </c>
      <c r="B279">
        <v>-3</v>
      </c>
      <c r="C279" t="s">
        <v>871</v>
      </c>
      <c r="D279" s="2">
        <v>22893814.34</v>
      </c>
    </row>
    <row r="280" spans="1:9">
      <c r="A280" s="36" t="s">
        <v>567</v>
      </c>
      <c r="B280">
        <v>0</v>
      </c>
      <c r="C280" t="s">
        <v>568</v>
      </c>
      <c r="D280" s="2">
        <v>8867771.9600000009</v>
      </c>
    </row>
    <row r="281" spans="1:9">
      <c r="A281" s="36" t="s">
        <v>569</v>
      </c>
      <c r="B281">
        <v>-9</v>
      </c>
      <c r="C281" t="s">
        <v>919</v>
      </c>
      <c r="D281" s="2">
        <v>8867771.9600000009</v>
      </c>
    </row>
    <row r="282" spans="1:9">
      <c r="A282" s="36" t="s">
        <v>571</v>
      </c>
      <c r="B282">
        <v>-7</v>
      </c>
      <c r="C282" t="s">
        <v>572</v>
      </c>
      <c r="D282" s="2">
        <v>8049249.6299999999</v>
      </c>
    </row>
    <row r="283" spans="1:9">
      <c r="A283" s="153" t="s">
        <v>573</v>
      </c>
      <c r="B283" s="3">
        <v>-5</v>
      </c>
      <c r="C283" s="3" t="s">
        <v>574</v>
      </c>
      <c r="D283" s="154">
        <v>764977.85</v>
      </c>
    </row>
    <row r="284" spans="1:9">
      <c r="A284" s="153" t="s">
        <v>958</v>
      </c>
      <c r="B284" s="3">
        <v>-1</v>
      </c>
      <c r="C284" s="3" t="s">
        <v>959</v>
      </c>
      <c r="D284" s="154">
        <v>53544.480000000003</v>
      </c>
    </row>
    <row r="285" spans="1:9">
      <c r="A285" s="153" t="s">
        <v>577</v>
      </c>
      <c r="B285" s="3">
        <v>-8</v>
      </c>
      <c r="C285" s="3" t="s">
        <v>578</v>
      </c>
      <c r="D285" s="154">
        <v>21576708.93</v>
      </c>
      <c r="E285" s="93"/>
      <c r="F285" s="93"/>
      <c r="G285" s="93"/>
      <c r="H285" s="95"/>
      <c r="I285" s="93"/>
    </row>
    <row r="286" spans="1:9">
      <c r="A286" s="153" t="s">
        <v>579</v>
      </c>
      <c r="B286" s="3">
        <v>-3</v>
      </c>
      <c r="C286" s="3" t="s">
        <v>580</v>
      </c>
      <c r="D286" s="154">
        <v>21576708.93</v>
      </c>
      <c r="E286" s="93"/>
      <c r="F286" s="93"/>
      <c r="G286" s="93"/>
      <c r="H286" s="95"/>
      <c r="I286" s="93"/>
    </row>
    <row r="287" spans="1:9">
      <c r="A287" s="153" t="s">
        <v>581</v>
      </c>
      <c r="B287" s="3">
        <v>-8</v>
      </c>
      <c r="C287" s="3" t="s">
        <v>582</v>
      </c>
      <c r="D287" s="154">
        <v>21576708.93</v>
      </c>
      <c r="E287" s="93"/>
      <c r="F287" s="93"/>
      <c r="G287" s="93"/>
      <c r="H287" s="95"/>
      <c r="I287" s="93"/>
    </row>
    <row r="288" spans="1:9">
      <c r="A288" s="153" t="s">
        <v>332</v>
      </c>
      <c r="B288" s="3">
        <v>-8</v>
      </c>
      <c r="C288" s="3" t="s">
        <v>229</v>
      </c>
      <c r="D288" s="154">
        <v>510836389.07999998</v>
      </c>
      <c r="E288" s="93"/>
      <c r="F288" s="93"/>
      <c r="G288" s="93"/>
      <c r="H288" s="95"/>
      <c r="I288" s="93"/>
    </row>
    <row r="289" spans="1:9">
      <c r="A289" s="153" t="s">
        <v>230</v>
      </c>
      <c r="B289" s="3">
        <v>-5</v>
      </c>
      <c r="C289" s="3" t="s">
        <v>231</v>
      </c>
      <c r="D289" s="154">
        <v>510836389.07999998</v>
      </c>
      <c r="E289" s="93"/>
      <c r="F289" s="93"/>
      <c r="G289" s="93"/>
      <c r="H289" s="95"/>
      <c r="I289" s="93"/>
    </row>
    <row r="290" spans="1:9">
      <c r="A290" s="153" t="s">
        <v>232</v>
      </c>
      <c r="B290" s="3">
        <v>0</v>
      </c>
      <c r="C290" s="3" t="s">
        <v>231</v>
      </c>
      <c r="D290" s="154">
        <v>510836389.07999998</v>
      </c>
      <c r="E290" s="93"/>
      <c r="F290" s="93"/>
      <c r="G290" s="93"/>
      <c r="H290" s="95"/>
      <c r="I290" s="93"/>
    </row>
    <row r="291" spans="1:9" ht="17.25">
      <c r="A291" s="153" t="s">
        <v>233</v>
      </c>
      <c r="B291" s="3">
        <v>-5</v>
      </c>
      <c r="C291" s="3" t="s">
        <v>872</v>
      </c>
      <c r="D291" s="154">
        <v>455154052.72000003</v>
      </c>
      <c r="E291" s="157">
        <v>422559501.06999999</v>
      </c>
      <c r="F291" s="100">
        <f>+D291-E291</f>
        <v>32594551.650000036</v>
      </c>
      <c r="G291" s="94">
        <f>+F291+D292</f>
        <v>81493246.010000035</v>
      </c>
      <c r="H291" s="95"/>
      <c r="I291" s="93"/>
    </row>
    <row r="292" spans="1:9">
      <c r="A292" s="153" t="s">
        <v>695</v>
      </c>
      <c r="B292" s="3">
        <v>-1</v>
      </c>
      <c r="C292" s="3" t="s">
        <v>960</v>
      </c>
      <c r="D292" s="154">
        <v>48898694.359999999</v>
      </c>
      <c r="E292" s="93"/>
      <c r="F292" s="93"/>
      <c r="G292" s="93"/>
      <c r="H292" s="95"/>
      <c r="I292" s="93"/>
    </row>
    <row r="293" spans="1:9">
      <c r="A293" s="153" t="s">
        <v>234</v>
      </c>
      <c r="B293" s="3">
        <v>-2</v>
      </c>
      <c r="C293" s="3" t="s">
        <v>235</v>
      </c>
      <c r="D293" s="154">
        <v>6783642</v>
      </c>
      <c r="E293" s="93"/>
      <c r="F293" s="93"/>
      <c r="G293" s="93"/>
      <c r="H293" s="95"/>
      <c r="I293" s="93"/>
    </row>
    <row r="294" spans="1:9">
      <c r="A294" s="153" t="s">
        <v>335</v>
      </c>
      <c r="B294" s="3">
        <v>-6</v>
      </c>
      <c r="C294" s="3" t="s">
        <v>236</v>
      </c>
      <c r="D294" s="154">
        <v>35692463.979999997</v>
      </c>
      <c r="E294" s="93"/>
      <c r="F294" s="93"/>
      <c r="G294" s="93"/>
      <c r="H294" s="95"/>
      <c r="I294" s="93"/>
    </row>
    <row r="295" spans="1:9">
      <c r="A295" s="153" t="s">
        <v>237</v>
      </c>
      <c r="B295" s="3">
        <v>0</v>
      </c>
      <c r="C295" s="3" t="s">
        <v>238</v>
      </c>
      <c r="D295" s="154">
        <v>35692463.979999997</v>
      </c>
      <c r="E295" s="93"/>
      <c r="F295" s="93"/>
      <c r="G295" s="93"/>
      <c r="H295" s="95"/>
      <c r="I295" s="93"/>
    </row>
    <row r="296" spans="1:9">
      <c r="A296" s="153" t="s">
        <v>336</v>
      </c>
      <c r="B296" s="3">
        <v>-9</v>
      </c>
      <c r="C296" s="3" t="s">
        <v>873</v>
      </c>
      <c r="D296" s="154">
        <v>35692463.979999997</v>
      </c>
      <c r="E296" s="93" t="s">
        <v>334</v>
      </c>
      <c r="F296" s="93" t="s">
        <v>43</v>
      </c>
      <c r="G296" s="95">
        <v>91432682.060000002</v>
      </c>
      <c r="H296" s="95"/>
      <c r="I296" s="93"/>
    </row>
    <row r="297" spans="1:9">
      <c r="A297" s="153" t="s">
        <v>333</v>
      </c>
      <c r="B297" s="3">
        <v>-1</v>
      </c>
      <c r="C297" s="3" t="s">
        <v>874</v>
      </c>
      <c r="D297" s="154">
        <v>35692463.979999997</v>
      </c>
      <c r="E297" s="93" t="s">
        <v>44</v>
      </c>
      <c r="F297" s="93" t="s">
        <v>45</v>
      </c>
      <c r="G297" s="95">
        <v>91432682.060000002</v>
      </c>
      <c r="H297" s="95"/>
      <c r="I297" s="93"/>
    </row>
    <row r="298" spans="1:9">
      <c r="A298" s="153">
        <v>9</v>
      </c>
      <c r="B298" s="3">
        <v>-8</v>
      </c>
      <c r="C298" s="3" t="s">
        <v>626</v>
      </c>
      <c r="D298" s="154">
        <v>86861688.530000001</v>
      </c>
      <c r="E298" s="93" t="s">
        <v>46</v>
      </c>
      <c r="F298" s="93" t="s">
        <v>47</v>
      </c>
      <c r="G298" s="95">
        <v>91432682.060000002</v>
      </c>
      <c r="H298" s="95"/>
      <c r="I298" s="93"/>
    </row>
    <row r="299" spans="1:9">
      <c r="A299" s="36" t="s">
        <v>640</v>
      </c>
      <c r="B299">
        <v>-8</v>
      </c>
      <c r="C299" t="s">
        <v>626</v>
      </c>
      <c r="D299" s="2">
        <v>86861688.530000001</v>
      </c>
      <c r="E299" s="93" t="s">
        <v>48</v>
      </c>
      <c r="F299" s="93" t="s">
        <v>895</v>
      </c>
      <c r="G299" s="95">
        <v>79311117.939999998</v>
      </c>
      <c r="H299" s="95">
        <f>+F291-G299</f>
        <v>-46716566.289999962</v>
      </c>
      <c r="I299" s="93"/>
    </row>
    <row r="300" spans="1:9">
      <c r="A300" s="36" t="s">
        <v>641</v>
      </c>
      <c r="B300">
        <v>-1</v>
      </c>
      <c r="C300" t="s">
        <v>629</v>
      </c>
      <c r="D300" s="2">
        <v>86861688.530000001</v>
      </c>
      <c r="E300" s="93" t="s">
        <v>49</v>
      </c>
      <c r="F300" s="93" t="s">
        <v>896</v>
      </c>
      <c r="G300" s="95">
        <v>12121564.119999999</v>
      </c>
      <c r="H300" s="95"/>
      <c r="I300" s="93"/>
    </row>
    <row r="301" spans="1:9">
      <c r="A301" s="36" t="s">
        <v>642</v>
      </c>
      <c r="B301">
        <v>-5</v>
      </c>
      <c r="C301" t="s">
        <v>643</v>
      </c>
      <c r="D301" s="2">
        <v>86861688.530000001</v>
      </c>
      <c r="E301" s="93"/>
      <c r="F301" s="93"/>
      <c r="G301" s="93"/>
      <c r="H301" s="95"/>
      <c r="I301" s="93"/>
    </row>
    <row r="302" spans="1:9">
      <c r="A302" s="36" t="s">
        <v>644</v>
      </c>
      <c r="B302">
        <v>-1</v>
      </c>
      <c r="C302" t="s">
        <v>645</v>
      </c>
      <c r="D302" s="2">
        <v>86861688.530000001</v>
      </c>
      <c r="E302" s="93"/>
      <c r="F302" s="93"/>
      <c r="G302" s="93"/>
      <c r="H302" s="95"/>
      <c r="I302" s="93"/>
    </row>
    <row r="303" spans="1:9">
      <c r="A303" s="36" t="s">
        <v>646</v>
      </c>
      <c r="B303">
        <v>-6</v>
      </c>
      <c r="C303" t="s">
        <v>647</v>
      </c>
      <c r="D303" s="2">
        <v>39292916.829999998</v>
      </c>
      <c r="E303" s="93"/>
      <c r="F303" s="93"/>
      <c r="G303" s="93"/>
      <c r="H303" s="95"/>
      <c r="I303" s="93"/>
    </row>
    <row r="304" spans="1:9">
      <c r="A304" s="36" t="s">
        <v>648</v>
      </c>
      <c r="B304">
        <v>-4</v>
      </c>
      <c r="C304" t="s">
        <v>649</v>
      </c>
      <c r="D304" s="2">
        <v>47568771.700000003</v>
      </c>
      <c r="E304" s="93"/>
      <c r="F304" s="93"/>
      <c r="G304" s="93"/>
      <c r="H304" s="95"/>
      <c r="I304" s="93"/>
    </row>
    <row r="305" spans="1:1">
      <c r="A305" s="36"/>
    </row>
    <row r="306" spans="1:1">
      <c r="A306" s="36"/>
    </row>
    <row r="307" spans="1:1">
      <c r="A307" s="36"/>
    </row>
    <row r="308" spans="1:1">
      <c r="A308" s="36"/>
    </row>
    <row r="309" spans="1:1">
      <c r="A309" s="36"/>
    </row>
    <row r="310" spans="1:1">
      <c r="A310" s="49"/>
    </row>
    <row r="311" spans="1:1">
      <c r="A311" s="36"/>
    </row>
    <row r="312" spans="1:1">
      <c r="A312" s="36"/>
    </row>
    <row r="313" spans="1:1">
      <c r="A313" s="36"/>
    </row>
    <row r="314" spans="1:1">
      <c r="A314" s="36"/>
    </row>
    <row r="315" spans="1:1">
      <c r="A315" s="3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N346"/>
  <sheetViews>
    <sheetView zoomScaleNormal="100" workbookViewId="0">
      <pane ySplit="6" topLeftCell="A58" activePane="bottomLeft" state="frozen"/>
      <selection pane="bottomLeft" activeCell="A8" sqref="A8:XFD75"/>
    </sheetView>
  </sheetViews>
  <sheetFormatPr defaultColWidth="9.140625" defaultRowHeight="12.75"/>
  <cols>
    <col min="1" max="1" width="16.85546875" style="93" bestFit="1" customWidth="1"/>
    <col min="2" max="2" width="3.7109375" style="93" bestFit="1" customWidth="1"/>
    <col min="3" max="3" width="57.42578125" style="93" customWidth="1"/>
    <col min="4" max="4" width="21.42578125" style="93" customWidth="1"/>
    <col min="5" max="6" width="16.5703125" style="95" hidden="1" customWidth="1"/>
    <col min="7" max="7" width="41.7109375" style="93" hidden="1" customWidth="1"/>
    <col min="8" max="8" width="16.5703125" style="95" hidden="1" customWidth="1"/>
    <col min="9" max="9" width="16.5703125" style="96" hidden="1" customWidth="1"/>
    <col min="10" max="10" width="16.140625" style="93" hidden="1" customWidth="1"/>
    <col min="11" max="11" width="19.28515625" style="93" hidden="1" customWidth="1"/>
    <col min="12" max="12" width="16.140625" style="93" hidden="1" customWidth="1"/>
    <col min="13" max="13" width="15" style="93" hidden="1" customWidth="1"/>
    <col min="14" max="14" width="14" style="93" hidden="1" customWidth="1"/>
    <col min="15" max="15" width="0" style="93" hidden="1" customWidth="1"/>
    <col min="16" max="16384" width="9.140625" style="93"/>
  </cols>
  <sheetData>
    <row r="1" spans="1:12">
      <c r="A1" s="92" t="s">
        <v>987</v>
      </c>
      <c r="B1" s="93" t="s">
        <v>675</v>
      </c>
      <c r="C1" s="93" t="s">
        <v>962</v>
      </c>
      <c r="D1" s="93" t="s">
        <v>712</v>
      </c>
    </row>
    <row r="2" spans="1:12">
      <c r="A2" s="97">
        <v>0.61884259259259256</v>
      </c>
      <c r="C2" s="93" t="s">
        <v>963</v>
      </c>
      <c r="D2" s="93" t="s">
        <v>964</v>
      </c>
      <c r="G2" s="93" t="s">
        <v>320</v>
      </c>
    </row>
    <row r="3" spans="1:12">
      <c r="A3" s="92" t="s">
        <v>652</v>
      </c>
      <c r="B3" s="93" t="s">
        <v>653</v>
      </c>
      <c r="C3" s="93" t="s">
        <v>965</v>
      </c>
      <c r="D3" s="93" t="s">
        <v>966</v>
      </c>
    </row>
    <row r="4" spans="1:12">
      <c r="A4" s="92" t="s">
        <v>617</v>
      </c>
      <c r="B4" s="93" t="s">
        <v>618</v>
      </c>
      <c r="C4" s="93" t="s">
        <v>967</v>
      </c>
      <c r="D4" s="93" t="s">
        <v>968</v>
      </c>
    </row>
    <row r="5" spans="1:12">
      <c r="A5" s="92" t="s">
        <v>619</v>
      </c>
      <c r="B5" s="93" t="s">
        <v>620</v>
      </c>
      <c r="C5" s="93" t="s">
        <v>621</v>
      </c>
    </row>
    <row r="6" spans="1:12">
      <c r="A6" s="92" t="s">
        <v>617</v>
      </c>
      <c r="B6" s="93" t="s">
        <v>618</v>
      </c>
      <c r="C6" s="93" t="s">
        <v>967</v>
      </c>
      <c r="D6" s="93" t="s">
        <v>968</v>
      </c>
      <c r="E6" s="102" t="s">
        <v>369</v>
      </c>
      <c r="F6" s="102"/>
      <c r="G6" s="98" t="s">
        <v>980</v>
      </c>
      <c r="H6" s="102">
        <v>2013</v>
      </c>
      <c r="I6" s="96" t="s">
        <v>981</v>
      </c>
    </row>
    <row r="7" spans="1:12">
      <c r="A7" s="92"/>
      <c r="C7" s="94"/>
      <c r="D7" s="94"/>
    </row>
    <row r="8" spans="1:12">
      <c r="A8" s="92">
        <v>1</v>
      </c>
      <c r="B8" s="93">
        <v>-7</v>
      </c>
      <c r="C8" s="94" t="s">
        <v>346</v>
      </c>
      <c r="D8" s="94">
        <v>1500896499.3099999</v>
      </c>
      <c r="E8" s="95">
        <f>VLOOKUP(A8,'Balancete 2014'!A:D,4,0)</f>
        <v>1641432710.99</v>
      </c>
      <c r="H8" s="95">
        <v>1154384180.3499999</v>
      </c>
      <c r="J8" s="106"/>
      <c r="K8" s="106" t="s">
        <v>982</v>
      </c>
    </row>
    <row r="9" spans="1:12">
      <c r="A9" s="92" t="s">
        <v>315</v>
      </c>
      <c r="B9" s="93">
        <v>-4</v>
      </c>
      <c r="C9" s="93" t="s">
        <v>347</v>
      </c>
      <c r="D9" s="94">
        <v>578.22</v>
      </c>
      <c r="E9" s="95">
        <f>VLOOKUP(A9,'Balancete 2014'!A:D,4,0)</f>
        <v>276.11</v>
      </c>
      <c r="H9" s="95">
        <v>2130.14</v>
      </c>
      <c r="J9" s="103">
        <v>7</v>
      </c>
      <c r="K9" s="104">
        <f>+D258</f>
        <v>657374339.66999996</v>
      </c>
    </row>
    <row r="10" spans="1:12">
      <c r="A10" s="92" t="s">
        <v>348</v>
      </c>
      <c r="B10" s="93">
        <v>-2</v>
      </c>
      <c r="C10" s="93" t="s">
        <v>349</v>
      </c>
      <c r="D10" s="94">
        <v>526.24</v>
      </c>
      <c r="E10" s="95">
        <f>VLOOKUP(A10,'Balancete 2014'!A:D,4,0)</f>
        <v>224.13</v>
      </c>
      <c r="H10" s="95">
        <v>289.8</v>
      </c>
      <c r="J10" s="103">
        <v>8</v>
      </c>
      <c r="K10" s="104">
        <f>-D98</f>
        <v>-55496900.32</v>
      </c>
    </row>
    <row r="11" spans="1:12">
      <c r="A11" s="92" t="s">
        <v>350</v>
      </c>
      <c r="B11" s="93">
        <v>0</v>
      </c>
      <c r="C11" s="93" t="s">
        <v>349</v>
      </c>
      <c r="D11" s="94">
        <v>526.24</v>
      </c>
      <c r="E11" s="95">
        <f>VLOOKUP(A11,'Balancete 2014'!A:D,4,0)</f>
        <v>224.13</v>
      </c>
      <c r="H11" s="95">
        <v>289.8</v>
      </c>
      <c r="J11" s="103" t="s">
        <v>983</v>
      </c>
      <c r="K11" s="104">
        <f>+K9+K10-8556915.62</f>
        <v>593320523.7299999</v>
      </c>
      <c r="L11" s="100">
        <f>+K9+K10</f>
        <v>601877439.3499999</v>
      </c>
    </row>
    <row r="12" spans="1:12">
      <c r="A12" s="92" t="s">
        <v>352</v>
      </c>
      <c r="B12" s="93">
        <v>-5</v>
      </c>
      <c r="C12" s="93" t="s">
        <v>349</v>
      </c>
      <c r="D12" s="94">
        <v>526.24</v>
      </c>
      <c r="E12" s="95">
        <f>VLOOKUP(A12,'Balancete 2014'!A:D,4,0)</f>
        <v>224.13</v>
      </c>
      <c r="H12" s="95">
        <v>289.8</v>
      </c>
      <c r="J12" s="105">
        <v>0.05</v>
      </c>
      <c r="K12" s="104">
        <f>+K11*J12</f>
        <v>29666026.186499998</v>
      </c>
    </row>
    <row r="13" spans="1:12">
      <c r="A13" s="92" t="s">
        <v>353</v>
      </c>
      <c r="B13" s="93">
        <v>-3</v>
      </c>
      <c r="C13" s="93" t="s">
        <v>349</v>
      </c>
      <c r="D13" s="94">
        <v>526.24</v>
      </c>
      <c r="E13" s="95">
        <f>VLOOKUP(A13,'Balancete 2014'!A:D,4,0)</f>
        <v>224.13</v>
      </c>
      <c r="H13" s="95">
        <v>289.8</v>
      </c>
      <c r="J13" s="103" t="s">
        <v>984</v>
      </c>
      <c r="K13" s="104">
        <f>+K11-K12</f>
        <v>563654497.54349995</v>
      </c>
    </row>
    <row r="14" spans="1:12">
      <c r="A14" s="92" t="s">
        <v>354</v>
      </c>
      <c r="B14" s="93">
        <v>0</v>
      </c>
      <c r="C14" s="93" t="s">
        <v>355</v>
      </c>
      <c r="D14" s="94">
        <v>51.98</v>
      </c>
      <c r="E14" s="95">
        <f>VLOOKUP(A14,'Balancete 2014'!A:D,4,0)</f>
        <v>51.98</v>
      </c>
      <c r="H14" s="95">
        <v>1840.34</v>
      </c>
      <c r="J14" s="107">
        <v>0.25</v>
      </c>
      <c r="K14" s="108">
        <f>+K13*J14</f>
        <v>140913624.38587499</v>
      </c>
    </row>
    <row r="15" spans="1:12">
      <c r="A15" s="92" t="s">
        <v>356</v>
      </c>
      <c r="B15" s="93">
        <v>-2</v>
      </c>
      <c r="C15" s="93" t="s">
        <v>355</v>
      </c>
      <c r="D15" s="94">
        <v>51.98</v>
      </c>
      <c r="E15" s="95">
        <f>VLOOKUP(A15,'Balancete 2014'!A:D,4,0)</f>
        <v>51.98</v>
      </c>
      <c r="H15" s="95">
        <v>1840.34</v>
      </c>
      <c r="J15" s="93" t="s">
        <v>985</v>
      </c>
      <c r="K15" s="95">
        <f>+K13-K14</f>
        <v>422740873.15762496</v>
      </c>
    </row>
    <row r="16" spans="1:12">
      <c r="A16" s="92" t="s">
        <v>357</v>
      </c>
      <c r="B16" s="93">
        <v>-8</v>
      </c>
      <c r="C16" s="93" t="s">
        <v>355</v>
      </c>
      <c r="D16" s="94">
        <v>51.98</v>
      </c>
      <c r="E16" s="95">
        <f>VLOOKUP(A16,'Balancete 2014'!A:D,4,0)</f>
        <v>51.98</v>
      </c>
      <c r="H16" s="95">
        <v>1840.34</v>
      </c>
      <c r="K16" s="95"/>
    </row>
    <row r="17" spans="1:11">
      <c r="A17" s="92" t="s">
        <v>358</v>
      </c>
      <c r="B17" s="93">
        <v>-6</v>
      </c>
      <c r="C17" s="94" t="s">
        <v>355</v>
      </c>
      <c r="D17" s="94">
        <v>51.98</v>
      </c>
      <c r="E17" s="95">
        <f>VLOOKUP(A17,'Balancete 2014'!A:D,4,0)</f>
        <v>51.98</v>
      </c>
      <c r="H17" s="95">
        <v>1840.34</v>
      </c>
      <c r="K17" s="95">
        <v>-8556915.6199999992</v>
      </c>
    </row>
    <row r="18" spans="1:11">
      <c r="A18" s="92" t="s">
        <v>316</v>
      </c>
      <c r="B18" s="93">
        <v>-1</v>
      </c>
      <c r="C18" s="94" t="s">
        <v>359</v>
      </c>
      <c r="D18" s="94">
        <v>103286039.34999999</v>
      </c>
      <c r="E18" s="95">
        <f>VLOOKUP(A18,'Balancete 2014'!A:D,4,0)</f>
        <v>93987063.079999998</v>
      </c>
      <c r="H18" s="95">
        <v>84760131.480000004</v>
      </c>
      <c r="I18" s="99">
        <f>+D18-E18</f>
        <v>9298976.2699999958</v>
      </c>
    </row>
    <row r="19" spans="1:11">
      <c r="A19" s="92" t="s">
        <v>360</v>
      </c>
      <c r="B19" s="93">
        <v>0</v>
      </c>
      <c r="C19" s="94" t="s">
        <v>361</v>
      </c>
      <c r="D19" s="94">
        <v>103286039.34999999</v>
      </c>
      <c r="E19" s="95">
        <f>VLOOKUP(A19,'Balancete 2014'!A:D,4,0)</f>
        <v>93987063.079999998</v>
      </c>
      <c r="H19" s="95">
        <v>84760131.480000004</v>
      </c>
      <c r="I19" s="99">
        <f t="shared" ref="I19:I82" si="0">+D19-E19</f>
        <v>9298976.2699999958</v>
      </c>
    </row>
    <row r="20" spans="1:11">
      <c r="A20" s="92" t="s">
        <v>362</v>
      </c>
      <c r="B20" s="93">
        <v>-3</v>
      </c>
      <c r="C20" s="94" t="s">
        <v>363</v>
      </c>
      <c r="D20" s="94">
        <v>103286039.34999999</v>
      </c>
      <c r="E20" s="95">
        <f>VLOOKUP(A20,'Balancete 2014'!A:D,4,0)</f>
        <v>93987063.079999998</v>
      </c>
      <c r="H20" s="95">
        <v>84760131.480000004</v>
      </c>
      <c r="I20" s="99">
        <f t="shared" si="0"/>
        <v>9298976.2699999958</v>
      </c>
    </row>
    <row r="21" spans="1:11">
      <c r="A21" s="92" t="s">
        <v>372</v>
      </c>
      <c r="B21" s="93">
        <v>-8</v>
      </c>
      <c r="C21" s="94" t="s">
        <v>373</v>
      </c>
      <c r="D21" s="94">
        <v>103286039.34999999</v>
      </c>
      <c r="E21" s="95">
        <f>VLOOKUP(A21,'Balancete 2014'!A:D,4,0)</f>
        <v>93987063.079999998</v>
      </c>
      <c r="H21" s="95" t="e">
        <v>#N/A</v>
      </c>
      <c r="I21" s="99">
        <f t="shared" si="0"/>
        <v>9298976.2699999958</v>
      </c>
    </row>
    <row r="22" spans="1:11">
      <c r="A22" s="92" t="s">
        <v>374</v>
      </c>
      <c r="B22" s="93">
        <v>-9</v>
      </c>
      <c r="C22" s="94" t="s">
        <v>879</v>
      </c>
      <c r="D22" s="94">
        <v>103286039.34999999</v>
      </c>
      <c r="E22" s="95">
        <f>VLOOKUP(A22,'Balancete 2014'!A:D,4,0)</f>
        <v>93987063.079999998</v>
      </c>
      <c r="H22" s="95" t="e">
        <v>#N/A</v>
      </c>
      <c r="I22" s="99">
        <f t="shared" si="0"/>
        <v>9298976.2699999958</v>
      </c>
    </row>
    <row r="23" spans="1:11">
      <c r="A23" s="92" t="s">
        <v>365</v>
      </c>
      <c r="B23" s="93">
        <v>-9</v>
      </c>
      <c r="C23" s="94" t="s">
        <v>366</v>
      </c>
      <c r="D23" s="94">
        <v>1362231400.8299999</v>
      </c>
      <c r="E23" s="95">
        <f>VLOOKUP(A23,'Balancete 2014'!A:D,4,0)</f>
        <v>1354076882.9100001</v>
      </c>
      <c r="H23" s="95">
        <v>907203117.01999998</v>
      </c>
      <c r="I23" s="99">
        <f t="shared" si="0"/>
        <v>8154517.9199998379</v>
      </c>
    </row>
    <row r="24" spans="1:11">
      <c r="A24" s="92" t="s">
        <v>367</v>
      </c>
      <c r="B24" s="93">
        <v>-7</v>
      </c>
      <c r="C24" s="94" t="s">
        <v>368</v>
      </c>
      <c r="D24" s="94">
        <v>1362231400.8299999</v>
      </c>
      <c r="E24" s="95">
        <f>VLOOKUP(A24,'Balancete 2014'!A:D,4,0)</f>
        <v>1354076882.9100001</v>
      </c>
      <c r="H24" s="95">
        <v>907203117.01999998</v>
      </c>
      <c r="I24" s="99">
        <f t="shared" si="0"/>
        <v>8154517.9199998379</v>
      </c>
    </row>
    <row r="25" spans="1:11">
      <c r="A25" s="92" t="s">
        <v>318</v>
      </c>
      <c r="B25" s="93">
        <v>0</v>
      </c>
      <c r="C25" s="94" t="s">
        <v>0</v>
      </c>
      <c r="D25" s="94">
        <v>612939699.64999998</v>
      </c>
      <c r="E25" s="95">
        <f>VLOOKUP(A25,'Balancete 2014'!A:D,4,0)</f>
        <v>293016857.47000003</v>
      </c>
      <c r="H25" s="95">
        <v>285433790.88</v>
      </c>
      <c r="I25" s="99">
        <f t="shared" si="0"/>
        <v>319922842.17999995</v>
      </c>
    </row>
    <row r="26" spans="1:11">
      <c r="A26" s="92" t="s">
        <v>1</v>
      </c>
      <c r="B26" s="93">
        <v>-7</v>
      </c>
      <c r="C26" s="94" t="s">
        <v>2</v>
      </c>
      <c r="D26" s="94">
        <v>612939699.64999998</v>
      </c>
      <c r="E26" s="95">
        <f>VLOOKUP(A26,'Balancete 2014'!A:D,4,0)</f>
        <v>293016857.47000003</v>
      </c>
      <c r="H26" s="95">
        <v>285433790.88</v>
      </c>
      <c r="I26" s="99">
        <f t="shared" si="0"/>
        <v>319922842.17999995</v>
      </c>
    </row>
    <row r="27" spans="1:11">
      <c r="A27" s="92" t="s">
        <v>3</v>
      </c>
      <c r="B27" s="93">
        <v>-5</v>
      </c>
      <c r="C27" s="94" t="s">
        <v>796</v>
      </c>
      <c r="D27" s="94">
        <v>612939699.64999998</v>
      </c>
      <c r="E27" s="95">
        <f>VLOOKUP(A27,'Balancete 2014'!A:D,4,0)</f>
        <v>293016857.47000003</v>
      </c>
      <c r="H27" s="95">
        <v>285433790.88</v>
      </c>
      <c r="I27" s="99">
        <f t="shared" si="0"/>
        <v>319922842.17999995</v>
      </c>
    </row>
    <row r="28" spans="1:11">
      <c r="A28" s="92" t="s">
        <v>377</v>
      </c>
      <c r="B28" s="93">
        <v>-3</v>
      </c>
      <c r="C28" s="94" t="s">
        <v>378</v>
      </c>
      <c r="D28" s="94">
        <v>26092686.260000002</v>
      </c>
      <c r="E28" s="95">
        <f>VLOOKUP(A28,'Balancete 2014'!A:D,4,0)</f>
        <v>313424219.36000001</v>
      </c>
      <c r="H28" s="95" t="e">
        <v>#N/A</v>
      </c>
      <c r="I28" s="99">
        <f t="shared" si="0"/>
        <v>-287331533.10000002</v>
      </c>
    </row>
    <row r="29" spans="1:11">
      <c r="A29" s="92" t="s">
        <v>379</v>
      </c>
      <c r="B29" s="93">
        <v>-6</v>
      </c>
      <c r="C29" s="94" t="s">
        <v>380</v>
      </c>
      <c r="D29" s="94">
        <v>26092686.260000002</v>
      </c>
      <c r="E29" s="95">
        <f>VLOOKUP(A29,'Balancete 2014'!A:D,4,0)</f>
        <v>313424219.36000001</v>
      </c>
      <c r="H29" s="95" t="e">
        <v>#N/A</v>
      </c>
      <c r="I29" s="99">
        <f t="shared" si="0"/>
        <v>-287331533.10000002</v>
      </c>
    </row>
    <row r="30" spans="1:11">
      <c r="A30" s="92" t="s">
        <v>381</v>
      </c>
      <c r="B30" s="93">
        <v>-4</v>
      </c>
      <c r="C30" s="94" t="s">
        <v>880</v>
      </c>
      <c r="D30" s="94">
        <v>26092686.260000002</v>
      </c>
      <c r="E30" s="95">
        <f>VLOOKUP(A30,'Balancete 2014'!A:D,4,0)</f>
        <v>313424219.36000001</v>
      </c>
      <c r="H30" s="95" t="e">
        <v>#N/A</v>
      </c>
      <c r="I30" s="99">
        <f t="shared" si="0"/>
        <v>-287331533.10000002</v>
      </c>
    </row>
    <row r="31" spans="1:11">
      <c r="A31" s="92" t="s">
        <v>317</v>
      </c>
      <c r="B31" s="93">
        <v>-4</v>
      </c>
      <c r="C31" s="94" t="s">
        <v>4</v>
      </c>
      <c r="D31" s="94">
        <v>723199014.91999996</v>
      </c>
      <c r="E31" s="95">
        <f>VLOOKUP(A31,'Balancete 2014'!A:D,4,0)</f>
        <v>747635806.08000004</v>
      </c>
      <c r="H31" s="95">
        <v>621769326.13999999</v>
      </c>
      <c r="I31" s="99">
        <f t="shared" si="0"/>
        <v>-24436791.160000086</v>
      </c>
    </row>
    <row r="32" spans="1:11">
      <c r="A32" s="92" t="s">
        <v>5</v>
      </c>
      <c r="B32" s="93">
        <v>0</v>
      </c>
      <c r="C32" s="94" t="s">
        <v>6</v>
      </c>
      <c r="D32" s="94">
        <v>723199014.91999996</v>
      </c>
      <c r="E32" s="95">
        <f>VLOOKUP(A32,'Balancete 2014'!A:D,4,0)</f>
        <v>747635806.08000004</v>
      </c>
      <c r="H32" s="95">
        <v>588940372.79999995</v>
      </c>
      <c r="I32" s="99">
        <f t="shared" si="0"/>
        <v>-24436791.160000086</v>
      </c>
    </row>
    <row r="33" spans="1:11">
      <c r="A33" s="92" t="s">
        <v>7</v>
      </c>
      <c r="B33" s="93">
        <v>-7</v>
      </c>
      <c r="C33" s="94" t="s">
        <v>881</v>
      </c>
      <c r="D33" s="94">
        <v>723199014.91999996</v>
      </c>
      <c r="E33" s="95">
        <f>VLOOKUP(A33,'Balancete 2014'!A:D,4,0)</f>
        <v>747635806.08000004</v>
      </c>
      <c r="G33" s="100">
        <f>D33-E33</f>
        <v>-24436791.160000086</v>
      </c>
      <c r="H33" s="95">
        <v>588940372.79999995</v>
      </c>
      <c r="I33" s="99">
        <f t="shared" si="0"/>
        <v>-24436791.160000086</v>
      </c>
    </row>
    <row r="34" spans="1:11">
      <c r="A34" s="92" t="s">
        <v>12</v>
      </c>
      <c r="B34" s="93">
        <v>-5</v>
      </c>
      <c r="C34" s="94" t="s">
        <v>13</v>
      </c>
      <c r="D34" s="94">
        <v>35378480.909999996</v>
      </c>
      <c r="E34" s="95">
        <f>VLOOKUP(A34,'Balancete 2014'!A:D,4,0)</f>
        <v>193368488.88999999</v>
      </c>
      <c r="H34" s="95">
        <v>162418801.71000001</v>
      </c>
      <c r="I34" s="99">
        <f t="shared" si="0"/>
        <v>-157990007.97999999</v>
      </c>
    </row>
    <row r="35" spans="1:11">
      <c r="A35" s="92" t="s">
        <v>319</v>
      </c>
      <c r="B35" s="93">
        <v>0</v>
      </c>
      <c r="C35" s="94" t="s">
        <v>14</v>
      </c>
      <c r="D35" s="94">
        <v>31860374.59</v>
      </c>
      <c r="E35" s="95">
        <f>VLOOKUP(A35,'Balancete 2014'!A:D,4,0)</f>
        <v>193288193.13999999</v>
      </c>
      <c r="H35" s="95">
        <v>160864686.08000001</v>
      </c>
      <c r="I35" s="99">
        <f t="shared" si="0"/>
        <v>-161427818.54999998</v>
      </c>
    </row>
    <row r="36" spans="1:11">
      <c r="A36" s="92" t="s">
        <v>15</v>
      </c>
      <c r="B36" s="93">
        <v>-1</v>
      </c>
      <c r="C36" s="94" t="s">
        <v>16</v>
      </c>
      <c r="D36" s="94">
        <v>31860374.59</v>
      </c>
      <c r="E36" s="95">
        <f>VLOOKUP(A36,'Balancete 2014'!A:D,4,0)</f>
        <v>193288193.13999999</v>
      </c>
      <c r="H36" s="95">
        <v>160864686.08000001</v>
      </c>
      <c r="I36" s="99">
        <f t="shared" si="0"/>
        <v>-161427818.54999998</v>
      </c>
    </row>
    <row r="37" spans="1:11">
      <c r="A37" s="156" t="s">
        <v>17</v>
      </c>
      <c r="B37" s="119">
        <v>-3</v>
      </c>
      <c r="C37" s="128" t="s">
        <v>797</v>
      </c>
      <c r="D37" s="128">
        <v>31860374.59</v>
      </c>
      <c r="E37" s="95">
        <f>VLOOKUP(A37,'Balancete 2014'!A:D,4,0)</f>
        <v>193288193.13999999</v>
      </c>
      <c r="H37" s="95">
        <v>160864686.08000001</v>
      </c>
      <c r="I37" s="99">
        <f t="shared" si="0"/>
        <v>-161427818.54999998</v>
      </c>
    </row>
    <row r="38" spans="1:11">
      <c r="A38" s="156" t="s">
        <v>18</v>
      </c>
      <c r="B38" s="119">
        <v>-1</v>
      </c>
      <c r="C38" s="128" t="s">
        <v>798</v>
      </c>
      <c r="D38" s="128">
        <v>31776860.609999999</v>
      </c>
      <c r="E38" s="95">
        <f>VLOOKUP(A38,'Balancete 2014'!A:D,4,0)</f>
        <v>59850844.119999997</v>
      </c>
      <c r="H38" s="95">
        <v>32596312.260000002</v>
      </c>
      <c r="I38" s="99">
        <f t="shared" si="0"/>
        <v>-28073983.509999998</v>
      </c>
    </row>
    <row r="39" spans="1:11">
      <c r="A39" s="156" t="s">
        <v>19</v>
      </c>
      <c r="B39" s="119">
        <v>0</v>
      </c>
      <c r="C39" s="128" t="s">
        <v>799</v>
      </c>
      <c r="D39" s="128">
        <v>83513.98</v>
      </c>
      <c r="E39" s="95">
        <f>VLOOKUP(A39,'Balancete 2014'!A:D,4,0)</f>
        <v>133437349.02</v>
      </c>
      <c r="H39" s="95">
        <v>128268373.81999999</v>
      </c>
      <c r="I39" s="99">
        <f t="shared" si="0"/>
        <v>-133353835.03999999</v>
      </c>
      <c r="J39" s="100">
        <f>+D39-E39</f>
        <v>-133353835.03999999</v>
      </c>
      <c r="K39" s="95">
        <f>+J39/1000</f>
        <v>-133353.83504000001</v>
      </c>
    </row>
    <row r="40" spans="1:11">
      <c r="A40" s="156" t="s">
        <v>320</v>
      </c>
      <c r="B40" s="119">
        <v>0</v>
      </c>
      <c r="C40" s="128" t="s">
        <v>20</v>
      </c>
      <c r="D40" s="128">
        <v>3518106.32</v>
      </c>
      <c r="E40" s="95">
        <f>VLOOKUP(A40,'Balancete 2014'!A:D,4,0)</f>
        <v>80295.75</v>
      </c>
      <c r="H40" s="95">
        <v>1554115.63</v>
      </c>
      <c r="I40" s="99">
        <f t="shared" si="0"/>
        <v>3437810.57</v>
      </c>
    </row>
    <row r="41" spans="1:11">
      <c r="A41" s="156" t="s">
        <v>21</v>
      </c>
      <c r="B41" s="119">
        <v>0</v>
      </c>
      <c r="C41" s="128" t="s">
        <v>22</v>
      </c>
      <c r="D41" s="128">
        <v>55410.84</v>
      </c>
      <c r="E41" s="95">
        <f>VLOOKUP(A41,'Balancete 2014'!A:D,4,0)</f>
        <v>38130.57</v>
      </c>
      <c r="H41" s="95">
        <v>28358.59</v>
      </c>
      <c r="I41" s="99">
        <f t="shared" si="0"/>
        <v>17280.269999999997</v>
      </c>
    </row>
    <row r="42" spans="1:11">
      <c r="A42" s="156" t="s">
        <v>23</v>
      </c>
      <c r="B42" s="119">
        <v>-4</v>
      </c>
      <c r="C42" s="128" t="s">
        <v>969</v>
      </c>
      <c r="D42" s="128">
        <v>55410.84</v>
      </c>
      <c r="E42" s="95">
        <f>VLOOKUP(A42,'Balancete 2014'!A:D,4,0)</f>
        <v>38130.57</v>
      </c>
      <c r="H42" s="95">
        <v>28358.59</v>
      </c>
      <c r="I42" s="99">
        <f t="shared" si="0"/>
        <v>17280.269999999997</v>
      </c>
    </row>
    <row r="43" spans="1:11">
      <c r="A43" s="156" t="s">
        <v>24</v>
      </c>
      <c r="B43" s="119">
        <v>-2</v>
      </c>
      <c r="C43" s="128" t="s">
        <v>800</v>
      </c>
      <c r="D43" s="128">
        <v>40743.26</v>
      </c>
      <c r="E43" s="95">
        <f>VLOOKUP(A43,'Balancete 2014'!A:D,4,0)</f>
        <v>28037.18</v>
      </c>
      <c r="H43" s="95">
        <v>20851.900000000001</v>
      </c>
      <c r="I43" s="99">
        <f t="shared" si="0"/>
        <v>12706.080000000002</v>
      </c>
    </row>
    <row r="44" spans="1:11">
      <c r="A44" s="156" t="s">
        <v>25</v>
      </c>
      <c r="B44" s="119">
        <v>0</v>
      </c>
      <c r="C44" s="128" t="s">
        <v>801</v>
      </c>
      <c r="D44" s="128">
        <v>14667.58</v>
      </c>
      <c r="E44" s="95">
        <f>VLOOKUP(A44,'Balancete 2014'!A:D,4,0)</f>
        <v>10093.39</v>
      </c>
      <c r="H44" s="95">
        <v>7506.69</v>
      </c>
      <c r="I44" s="99">
        <f t="shared" si="0"/>
        <v>4574.1900000000005</v>
      </c>
    </row>
    <row r="45" spans="1:11">
      <c r="A45" s="156" t="s">
        <v>26</v>
      </c>
      <c r="B45" s="119">
        <v>-8</v>
      </c>
      <c r="C45" s="128" t="s">
        <v>27</v>
      </c>
      <c r="D45" s="128">
        <v>53544.480000000003</v>
      </c>
      <c r="H45" s="95">
        <v>1454836.59</v>
      </c>
      <c r="I45" s="99">
        <f t="shared" si="0"/>
        <v>53544.480000000003</v>
      </c>
    </row>
    <row r="46" spans="1:11">
      <c r="A46" s="156" t="s">
        <v>676</v>
      </c>
      <c r="B46" s="119">
        <v>-5</v>
      </c>
      <c r="C46" s="128" t="s">
        <v>742</v>
      </c>
      <c r="D46" s="128">
        <v>53544.480000000003</v>
      </c>
      <c r="H46" s="95">
        <v>1454836.59</v>
      </c>
      <c r="I46" s="99">
        <f t="shared" si="0"/>
        <v>53544.480000000003</v>
      </c>
    </row>
    <row r="47" spans="1:11">
      <c r="A47" s="156" t="s">
        <v>677</v>
      </c>
      <c r="B47" s="119">
        <v>-3</v>
      </c>
      <c r="C47" s="119" t="s">
        <v>882</v>
      </c>
      <c r="D47" s="128">
        <v>53544.480000000003</v>
      </c>
      <c r="H47" s="95">
        <v>1454836.59</v>
      </c>
      <c r="I47" s="99">
        <f t="shared" si="0"/>
        <v>53544.480000000003</v>
      </c>
    </row>
    <row r="48" spans="1:11">
      <c r="A48" s="156" t="s">
        <v>883</v>
      </c>
      <c r="B48" s="119">
        <v>-2</v>
      </c>
      <c r="C48" s="119" t="s">
        <v>884</v>
      </c>
      <c r="D48" s="128">
        <v>3401410.97</v>
      </c>
      <c r="H48" s="95" t="e">
        <v>#N/A</v>
      </c>
      <c r="I48" s="99">
        <f t="shared" si="0"/>
        <v>3401410.97</v>
      </c>
    </row>
    <row r="49" spans="1:9">
      <c r="A49" s="156" t="s">
        <v>885</v>
      </c>
      <c r="B49" s="119">
        <v>-8</v>
      </c>
      <c r="C49" s="128" t="s">
        <v>886</v>
      </c>
      <c r="D49" s="128">
        <v>3401410.97</v>
      </c>
      <c r="H49" s="95" t="e">
        <v>#N/A</v>
      </c>
      <c r="I49" s="99">
        <f t="shared" si="0"/>
        <v>3401410.97</v>
      </c>
    </row>
    <row r="50" spans="1:9">
      <c r="A50" s="156" t="s">
        <v>887</v>
      </c>
      <c r="B50" s="119">
        <v>-2</v>
      </c>
      <c r="C50" s="128" t="s">
        <v>888</v>
      </c>
      <c r="D50" s="128">
        <v>3401410.97</v>
      </c>
      <c r="H50" s="95" t="e">
        <v>#N/A</v>
      </c>
      <c r="I50" s="99">
        <f t="shared" si="0"/>
        <v>3401410.97</v>
      </c>
    </row>
    <row r="51" spans="1:9">
      <c r="A51" s="156" t="s">
        <v>302</v>
      </c>
      <c r="B51" s="119">
        <v>-2</v>
      </c>
      <c r="C51" s="128" t="s">
        <v>303</v>
      </c>
      <c r="D51" s="128">
        <v>7740.03</v>
      </c>
      <c r="E51" s="95">
        <f>VLOOKUP(A51,'Balancete 2014'!A:D,4,0)</f>
        <v>42165.18</v>
      </c>
      <c r="H51" s="95">
        <v>70920.45</v>
      </c>
      <c r="I51" s="99">
        <f t="shared" si="0"/>
        <v>-34425.15</v>
      </c>
    </row>
    <row r="52" spans="1:9">
      <c r="A52" s="156" t="s">
        <v>304</v>
      </c>
      <c r="B52" s="119">
        <v>-7</v>
      </c>
      <c r="C52" s="119" t="s">
        <v>303</v>
      </c>
      <c r="D52" s="128">
        <v>7740.03</v>
      </c>
      <c r="E52" s="95">
        <f>VLOOKUP(A52,'Balancete 2014'!A:D,4,0)</f>
        <v>42165.18</v>
      </c>
      <c r="H52" s="95">
        <v>70920.45</v>
      </c>
      <c r="I52" s="99">
        <f t="shared" si="0"/>
        <v>-34425.15</v>
      </c>
    </row>
    <row r="53" spans="1:9">
      <c r="A53" s="156" t="s">
        <v>305</v>
      </c>
      <c r="B53" s="119">
        <v>-4</v>
      </c>
      <c r="C53" s="119" t="s">
        <v>889</v>
      </c>
      <c r="D53" s="128">
        <v>7740.03</v>
      </c>
      <c r="E53" s="95">
        <f>VLOOKUP(A53,'Balancete 2014'!A:D,4,0)</f>
        <v>42165.18</v>
      </c>
      <c r="H53" s="95">
        <v>70920.45</v>
      </c>
      <c r="I53" s="99">
        <f t="shared" si="0"/>
        <v>-34425.15</v>
      </c>
    </row>
    <row r="54" spans="1:9">
      <c r="A54" s="156">
        <v>2</v>
      </c>
      <c r="B54" s="119">
        <v>-3</v>
      </c>
      <c r="C54" s="128" t="s">
        <v>622</v>
      </c>
      <c r="D54" s="128">
        <v>2138207148.71</v>
      </c>
      <c r="E54" s="95">
        <f>VLOOKUP(A54,'Balancete 2014'!A:D,4,0)</f>
        <v>4542095578.6999998</v>
      </c>
      <c r="H54" s="95">
        <v>3536067198.8800001</v>
      </c>
      <c r="I54" s="99">
        <f t="shared" si="0"/>
        <v>-2403888429.9899998</v>
      </c>
    </row>
    <row r="55" spans="1:9">
      <c r="A55" s="156" t="s">
        <v>321</v>
      </c>
      <c r="B55" s="119">
        <v>0</v>
      </c>
      <c r="C55" s="128" t="s">
        <v>28</v>
      </c>
      <c r="D55" s="128">
        <v>2138207148.71</v>
      </c>
      <c r="E55" s="95">
        <f>VLOOKUP(A55,'Balancete 2014'!A:D,4,0)</f>
        <v>4542095503.6999998</v>
      </c>
      <c r="H55" s="95">
        <v>3536066823.8800001</v>
      </c>
      <c r="I55" s="99">
        <f t="shared" si="0"/>
        <v>-2403888354.9899998</v>
      </c>
    </row>
    <row r="56" spans="1:9">
      <c r="A56" s="156" t="s">
        <v>29</v>
      </c>
      <c r="B56" s="119">
        <v>-7</v>
      </c>
      <c r="C56" s="128" t="s">
        <v>30</v>
      </c>
      <c r="D56" s="128">
        <v>2138207148.71</v>
      </c>
      <c r="E56" s="95">
        <f>VLOOKUP(A56,'Balancete 2014'!A:D,4,0)</f>
        <v>4542095503.6999998</v>
      </c>
      <c r="H56" s="95">
        <v>3536066823.8800001</v>
      </c>
      <c r="I56" s="99">
        <f t="shared" si="0"/>
        <v>-2403888354.9899998</v>
      </c>
    </row>
    <row r="57" spans="1:9">
      <c r="A57" s="156" t="s">
        <v>31</v>
      </c>
      <c r="B57" s="119">
        <v>0</v>
      </c>
      <c r="C57" s="129" t="s">
        <v>32</v>
      </c>
      <c r="D57" s="130">
        <v>2138207148.71</v>
      </c>
      <c r="E57" s="95">
        <f>VLOOKUP(A57,'Balancete 2014'!A:D,4,0)</f>
        <v>4542095503.6999998</v>
      </c>
      <c r="H57" s="95">
        <v>3536066823.8800001</v>
      </c>
      <c r="I57" s="99">
        <f t="shared" si="0"/>
        <v>-2403888354.9899998</v>
      </c>
    </row>
    <row r="58" spans="1:9">
      <c r="A58" s="156" t="s">
        <v>268</v>
      </c>
      <c r="B58" s="119">
        <v>-2</v>
      </c>
      <c r="C58" s="128" t="s">
        <v>399</v>
      </c>
      <c r="D58" s="128">
        <v>1528663343.77</v>
      </c>
      <c r="E58" s="95">
        <f>VLOOKUP(A58,'Balancete 2014'!A:D,4,0)</f>
        <v>1469201224.8</v>
      </c>
      <c r="H58" s="95">
        <v>828499930</v>
      </c>
      <c r="I58" s="99">
        <f t="shared" si="0"/>
        <v>59462118.970000029</v>
      </c>
    </row>
    <row r="59" spans="1:9">
      <c r="A59" s="156" t="s">
        <v>269</v>
      </c>
      <c r="B59" s="119">
        <v>0</v>
      </c>
      <c r="C59" s="128" t="s">
        <v>590</v>
      </c>
      <c r="D59" s="128">
        <v>1529615982.96</v>
      </c>
      <c r="E59" s="95">
        <f>VLOOKUP(A59,'Balancete 2014'!A:D,4,0)</f>
        <v>1470153863.99</v>
      </c>
      <c r="H59" s="95">
        <v>828499930</v>
      </c>
      <c r="I59" s="99">
        <f t="shared" si="0"/>
        <v>59462118.970000029</v>
      </c>
    </row>
    <row r="60" spans="1:9">
      <c r="A60" s="156" t="s">
        <v>654</v>
      </c>
      <c r="B60" s="119">
        <v>-9</v>
      </c>
      <c r="C60" s="119" t="s">
        <v>655</v>
      </c>
      <c r="D60" s="128">
        <v>-952639.19</v>
      </c>
      <c r="E60" s="95">
        <f>VLOOKUP(A60,'Balancete 2014'!A:D,4,0)</f>
        <v>-952639.19</v>
      </c>
      <c r="H60" s="95" t="e">
        <v>#N/A</v>
      </c>
      <c r="I60" s="99">
        <f t="shared" si="0"/>
        <v>0</v>
      </c>
    </row>
    <row r="61" spans="1:9">
      <c r="A61" s="156" t="s">
        <v>270</v>
      </c>
      <c r="B61" s="119">
        <v>-9</v>
      </c>
      <c r="C61" s="128" t="s">
        <v>400</v>
      </c>
      <c r="D61" s="128">
        <v>176358000</v>
      </c>
      <c r="E61" s="95">
        <f>VLOOKUP(A61,'Balancete 2014'!A:D,4,0)</f>
        <v>176358000</v>
      </c>
      <c r="H61" s="95">
        <v>176358000</v>
      </c>
      <c r="I61" s="99">
        <f t="shared" si="0"/>
        <v>0</v>
      </c>
    </row>
    <row r="62" spans="1:9">
      <c r="A62" s="156" t="s">
        <v>271</v>
      </c>
      <c r="B62" s="119">
        <v>-7</v>
      </c>
      <c r="C62" s="128" t="s">
        <v>401</v>
      </c>
      <c r="D62" s="128">
        <v>176358000</v>
      </c>
      <c r="E62" s="95">
        <f>VLOOKUP(A62,'Balancete 2014'!A:D,4,0)</f>
        <v>176358000</v>
      </c>
      <c r="H62" s="95">
        <v>176358000</v>
      </c>
      <c r="I62" s="99">
        <f t="shared" si="0"/>
        <v>0</v>
      </c>
    </row>
    <row r="63" spans="1:9">
      <c r="A63" s="156" t="s">
        <v>272</v>
      </c>
      <c r="B63" s="119">
        <v>-1</v>
      </c>
      <c r="C63" s="128" t="s">
        <v>402</v>
      </c>
      <c r="D63" s="128">
        <v>32965137.940000001</v>
      </c>
      <c r="E63" s="95">
        <f>VLOOKUP(A63,'Balancete 2014'!A:D,4,0)</f>
        <v>35837622.100000001</v>
      </c>
      <c r="H63" s="95">
        <v>38927396.259999998</v>
      </c>
      <c r="I63" s="99">
        <f t="shared" si="0"/>
        <v>-2872484.16</v>
      </c>
    </row>
    <row r="64" spans="1:9">
      <c r="A64" s="156" t="s">
        <v>273</v>
      </c>
      <c r="B64" s="119">
        <v>0</v>
      </c>
      <c r="C64" s="119" t="s">
        <v>403</v>
      </c>
      <c r="D64" s="128">
        <v>162276000</v>
      </c>
      <c r="E64" s="95">
        <f>VLOOKUP(A64,'Balancete 2014'!A:D,4,0)</f>
        <v>162276000</v>
      </c>
      <c r="H64" s="95">
        <v>162276000</v>
      </c>
      <c r="I64" s="99">
        <f t="shared" si="0"/>
        <v>0</v>
      </c>
    </row>
    <row r="65" spans="1:9">
      <c r="A65" s="156" t="s">
        <v>274</v>
      </c>
      <c r="B65" s="119">
        <v>-8</v>
      </c>
      <c r="C65" s="128" t="s">
        <v>404</v>
      </c>
      <c r="D65" s="128">
        <v>-129310862.06</v>
      </c>
      <c r="E65" s="95">
        <f>VLOOKUP(A65,'Balancete 2014'!A:D,4,0)</f>
        <v>-126438377.90000001</v>
      </c>
      <c r="G65" s="101"/>
      <c r="H65" s="95">
        <v>-123348603.73999999</v>
      </c>
      <c r="I65" s="99">
        <f t="shared" si="0"/>
        <v>-2872484.1599999964</v>
      </c>
    </row>
    <row r="66" spans="1:9">
      <c r="A66" s="156" t="s">
        <v>275</v>
      </c>
      <c r="B66" s="119">
        <v>-8</v>
      </c>
      <c r="C66" s="128" t="s">
        <v>276</v>
      </c>
      <c r="D66" s="128">
        <v>132998508.81999999</v>
      </c>
      <c r="E66" s="95">
        <f>VLOOKUP(A66,'Balancete 2014'!A:D,4,0)</f>
        <v>2638564418.52</v>
      </c>
      <c r="G66" s="94"/>
      <c r="H66" s="95">
        <v>2251138247.6199999</v>
      </c>
      <c r="I66" s="99">
        <f t="shared" si="0"/>
        <v>-2505565909.6999998</v>
      </c>
    </row>
    <row r="67" spans="1:9">
      <c r="A67" s="156" t="s">
        <v>278</v>
      </c>
      <c r="B67" s="119">
        <v>-4</v>
      </c>
      <c r="C67" s="128" t="s">
        <v>405</v>
      </c>
      <c r="D67" s="128">
        <v>18541523.02</v>
      </c>
      <c r="E67" s="95">
        <f>VLOOKUP(A67,'Balancete 2014'!A:D,4,0)</f>
        <v>14930652.029999999</v>
      </c>
      <c r="G67" s="101"/>
      <c r="H67" s="95">
        <v>13318390.84</v>
      </c>
      <c r="I67" s="99">
        <f t="shared" si="0"/>
        <v>3610870.99</v>
      </c>
    </row>
    <row r="68" spans="1:9">
      <c r="A68" s="156" t="s">
        <v>279</v>
      </c>
      <c r="B68" s="119">
        <v>-2</v>
      </c>
      <c r="C68" s="119" t="s">
        <v>406</v>
      </c>
      <c r="D68" s="128">
        <v>6955910.9500000002</v>
      </c>
      <c r="E68" s="95">
        <f>VLOOKUP(A68,'Balancete 2014'!A:D,4,0)</f>
        <v>6880514.5099999998</v>
      </c>
      <c r="H68" s="95">
        <v>6832155.2699999996</v>
      </c>
      <c r="I68" s="99">
        <f t="shared" si="0"/>
        <v>75396.44000000041</v>
      </c>
    </row>
    <row r="69" spans="1:9">
      <c r="A69" s="156" t="s">
        <v>407</v>
      </c>
      <c r="B69" s="119">
        <v>0</v>
      </c>
      <c r="C69" s="128" t="s">
        <v>408</v>
      </c>
      <c r="D69" s="128">
        <v>38292277.310000002</v>
      </c>
      <c r="E69" s="95">
        <f>VLOOKUP(A69,'Balancete 2014'!A:D,4,0)</f>
        <v>37063734.409999996</v>
      </c>
      <c r="H69" s="95" t="e">
        <v>#N/A</v>
      </c>
      <c r="I69" s="99">
        <f t="shared" si="0"/>
        <v>1228542.900000006</v>
      </c>
    </row>
    <row r="70" spans="1:9">
      <c r="A70" s="156" t="s">
        <v>280</v>
      </c>
      <c r="B70" s="119">
        <v>0</v>
      </c>
      <c r="C70" s="128" t="s">
        <v>409</v>
      </c>
      <c r="D70" s="128">
        <v>1840749.35</v>
      </c>
      <c r="E70" s="95">
        <f>VLOOKUP(A70,'Balancete 2014'!A:D,4,0)</f>
        <v>1840770.2</v>
      </c>
      <c r="H70" s="95">
        <v>1896916.47</v>
      </c>
      <c r="I70" s="99">
        <f t="shared" si="0"/>
        <v>-20.849999999860302</v>
      </c>
    </row>
    <row r="71" spans="1:9">
      <c r="A71" s="156" t="s">
        <v>281</v>
      </c>
      <c r="B71" s="119">
        <v>-9</v>
      </c>
      <c r="C71" s="119" t="s">
        <v>410</v>
      </c>
      <c r="D71" s="119">
        <v>2.5</v>
      </c>
      <c r="E71" s="95">
        <f>VLOOKUP(A71,'Balancete 2014'!A:D,4,0)</f>
        <v>2.5</v>
      </c>
      <c r="H71" s="95">
        <v>2.5</v>
      </c>
      <c r="I71" s="99">
        <f t="shared" si="0"/>
        <v>0</v>
      </c>
    </row>
    <row r="72" spans="1:9">
      <c r="A72" s="156" t="s">
        <v>282</v>
      </c>
      <c r="B72" s="119">
        <v>-7</v>
      </c>
      <c r="C72" s="128" t="s">
        <v>411</v>
      </c>
      <c r="D72" s="128">
        <v>32427856.469999999</v>
      </c>
      <c r="E72" s="95">
        <f>VLOOKUP(A72,'Balancete 2014'!A:D,4,0)</f>
        <v>32708898.859999999</v>
      </c>
      <c r="H72" s="95">
        <v>38962644.07</v>
      </c>
      <c r="I72" s="99">
        <f t="shared" si="0"/>
        <v>-281042.3900000006</v>
      </c>
    </row>
    <row r="73" spans="1:9">
      <c r="A73" s="156" t="s">
        <v>284</v>
      </c>
      <c r="B73" s="119">
        <v>-1</v>
      </c>
      <c r="C73" s="128" t="s">
        <v>413</v>
      </c>
      <c r="D73" s="128">
        <v>30392935.879999999</v>
      </c>
      <c r="E73" s="95">
        <f>VLOOKUP(A73,'Balancete 2014'!A:D,4,0)</f>
        <v>61471779.280000001</v>
      </c>
      <c r="H73" s="95">
        <v>64118119.740000002</v>
      </c>
      <c r="I73" s="99">
        <f t="shared" si="0"/>
        <v>-31078843.400000002</v>
      </c>
    </row>
    <row r="74" spans="1:9">
      <c r="A74" s="156" t="s">
        <v>414</v>
      </c>
      <c r="B74" s="119">
        <v>0</v>
      </c>
      <c r="C74" s="128" t="s">
        <v>623</v>
      </c>
      <c r="D74" s="128">
        <v>1010953.34</v>
      </c>
      <c r="E74" s="95">
        <f>VLOOKUP(A74,'Balancete 2014'!A:D,4,0)</f>
        <v>1010953.34</v>
      </c>
      <c r="H74" s="95" t="e">
        <v>#N/A</v>
      </c>
      <c r="I74" s="99">
        <f t="shared" si="0"/>
        <v>0</v>
      </c>
    </row>
    <row r="75" spans="1:9">
      <c r="A75" s="156" t="s">
        <v>691</v>
      </c>
      <c r="B75" s="119">
        <v>0</v>
      </c>
      <c r="C75" s="128" t="s">
        <v>890</v>
      </c>
      <c r="D75" s="128">
        <v>3536300</v>
      </c>
      <c r="E75" s="95" t="e">
        <f>VLOOKUP(A75,'Balancete 2014'!A:D,4,0)</f>
        <v>#N/A</v>
      </c>
      <c r="H75" s="95" t="e">
        <v>#N/A</v>
      </c>
      <c r="I75" s="99" t="e">
        <f t="shared" si="0"/>
        <v>#N/A</v>
      </c>
    </row>
    <row r="76" spans="1:9">
      <c r="A76" s="156" t="s">
        <v>285</v>
      </c>
      <c r="B76" s="119">
        <v>-4</v>
      </c>
      <c r="C76" s="119" t="s">
        <v>416</v>
      </c>
      <c r="D76" s="128">
        <v>79281286</v>
      </c>
      <c r="E76" s="95">
        <f>VLOOKUP(A76,'Balancete 2014'!A:D,4,0)</f>
        <v>79314858.280000001</v>
      </c>
      <c r="H76" s="95">
        <v>79281286</v>
      </c>
      <c r="I76" s="99">
        <f t="shared" si="0"/>
        <v>-33572.280000001192</v>
      </c>
    </row>
    <row r="77" spans="1:9">
      <c r="A77" s="156" t="s">
        <v>286</v>
      </c>
      <c r="B77" s="119">
        <v>-2</v>
      </c>
      <c r="C77" s="119" t="s">
        <v>417</v>
      </c>
      <c r="D77" s="128">
        <v>79281286</v>
      </c>
      <c r="E77" s="95">
        <f>VLOOKUP(A77,'Balancete 2014'!A:D,4,0)</f>
        <v>79281286</v>
      </c>
      <c r="H77" s="95">
        <v>79281286</v>
      </c>
      <c r="I77" s="99">
        <f t="shared" si="0"/>
        <v>0</v>
      </c>
    </row>
    <row r="78" spans="1:9">
      <c r="A78" s="156" t="s">
        <v>287</v>
      </c>
      <c r="B78" s="119">
        <v>-7</v>
      </c>
      <c r="C78" s="128" t="s">
        <v>891</v>
      </c>
      <c r="D78" s="128">
        <v>123776796</v>
      </c>
      <c r="E78" s="95">
        <f>VLOOKUP(A78,'Balancete 2014'!A:D,4,0)</f>
        <v>142819380</v>
      </c>
      <c r="H78" s="95">
        <v>161861964</v>
      </c>
      <c r="I78" s="99">
        <f t="shared" si="0"/>
        <v>-19042584</v>
      </c>
    </row>
    <row r="79" spans="1:9">
      <c r="A79" s="156" t="s">
        <v>288</v>
      </c>
      <c r="B79" s="119">
        <v>-5</v>
      </c>
      <c r="C79" s="128" t="s">
        <v>419</v>
      </c>
      <c r="D79" s="128">
        <v>190425840</v>
      </c>
      <c r="E79" s="95">
        <f>VLOOKUP(A79,'Balancete 2014'!A:D,4,0)</f>
        <v>190425840</v>
      </c>
      <c r="H79" s="95">
        <v>190425840</v>
      </c>
      <c r="I79" s="99">
        <f t="shared" si="0"/>
        <v>0</v>
      </c>
    </row>
    <row r="80" spans="1:9">
      <c r="A80" s="156" t="s">
        <v>289</v>
      </c>
      <c r="B80" s="119">
        <v>-3</v>
      </c>
      <c r="C80" s="128" t="s">
        <v>420</v>
      </c>
      <c r="D80" s="128">
        <v>-66649044</v>
      </c>
      <c r="E80" s="95">
        <f>VLOOKUP(A80,'Balancete 2014'!A:D,4,0)</f>
        <v>-47606460</v>
      </c>
      <c r="H80" s="95">
        <v>-28563876</v>
      </c>
      <c r="I80" s="99">
        <f t="shared" si="0"/>
        <v>-19042584</v>
      </c>
    </row>
    <row r="81" spans="1:9">
      <c r="A81" s="156" t="s">
        <v>750</v>
      </c>
      <c r="B81" s="119">
        <v>0</v>
      </c>
      <c r="C81" s="128" t="s">
        <v>892</v>
      </c>
      <c r="D81" s="128">
        <v>64164076.18</v>
      </c>
      <c r="E81" s="95" t="e">
        <f>VLOOKUP(A81,'Balancete 2014'!A:D,4,0)</f>
        <v>#N/A</v>
      </c>
      <c r="H81" s="95" t="e">
        <v>#N/A</v>
      </c>
      <c r="I81" s="99" t="e">
        <f t="shared" si="0"/>
        <v>#N/A</v>
      </c>
    </row>
    <row r="82" spans="1:9">
      <c r="A82" s="156" t="s">
        <v>752</v>
      </c>
      <c r="B82" s="119">
        <v>-8</v>
      </c>
      <c r="C82" s="128" t="s">
        <v>694</v>
      </c>
      <c r="D82" s="128">
        <v>66011000</v>
      </c>
      <c r="E82" s="95" t="e">
        <f>VLOOKUP(A82,'Balancete 2014'!A:D,4,0)</f>
        <v>#N/A</v>
      </c>
      <c r="H82" s="95" t="e">
        <v>#N/A</v>
      </c>
      <c r="I82" s="99" t="e">
        <f t="shared" si="0"/>
        <v>#N/A</v>
      </c>
    </row>
    <row r="83" spans="1:9">
      <c r="A83" s="156" t="s">
        <v>754</v>
      </c>
      <c r="B83" s="119">
        <v>-6</v>
      </c>
      <c r="C83" s="128" t="s">
        <v>747</v>
      </c>
      <c r="D83" s="128">
        <v>-1846923.82</v>
      </c>
      <c r="E83" s="95" t="e">
        <f>VLOOKUP(A83,'Balancete 2014'!A:D,4,0)</f>
        <v>#N/A</v>
      </c>
      <c r="H83" s="95" t="e">
        <v>#N/A</v>
      </c>
      <c r="I83" s="99" t="e">
        <f t="shared" ref="I83:I146" si="1">+D83-E83</f>
        <v>#N/A</v>
      </c>
    </row>
    <row r="84" spans="1:9">
      <c r="A84" s="156" t="s">
        <v>322</v>
      </c>
      <c r="B84" s="119">
        <v>-8</v>
      </c>
      <c r="C84" s="128" t="s">
        <v>33</v>
      </c>
      <c r="D84" s="128">
        <v>0</v>
      </c>
      <c r="E84" s="95">
        <f>VLOOKUP(A84,'Balancete 2014'!A:D,4,0)</f>
        <v>75</v>
      </c>
      <c r="H84" s="95">
        <v>375</v>
      </c>
      <c r="I84" s="99">
        <f t="shared" si="1"/>
        <v>-75</v>
      </c>
    </row>
    <row r="85" spans="1:9">
      <c r="A85" s="156" t="s">
        <v>34</v>
      </c>
      <c r="B85" s="119">
        <v>0</v>
      </c>
      <c r="C85" s="128" t="s">
        <v>35</v>
      </c>
      <c r="D85" s="128">
        <v>0</v>
      </c>
      <c r="E85" s="95">
        <f>VLOOKUP(A85,'Balancete 2014'!A:D,4,0)</f>
        <v>75</v>
      </c>
      <c r="H85" s="95">
        <v>-1125</v>
      </c>
      <c r="I85" s="99">
        <f t="shared" si="1"/>
        <v>-75</v>
      </c>
    </row>
    <row r="86" spans="1:9">
      <c r="A86" s="156" t="s">
        <v>421</v>
      </c>
      <c r="B86" s="119">
        <v>-8</v>
      </c>
      <c r="C86" s="128" t="s">
        <v>422</v>
      </c>
      <c r="D86" s="128">
        <v>1500</v>
      </c>
      <c r="E86" s="95">
        <f>VLOOKUP(A86,'Balancete 2014'!A:D,4,0)</f>
        <v>1500</v>
      </c>
      <c r="H86" s="95" t="e">
        <v>#N/A</v>
      </c>
      <c r="I86" s="99">
        <f t="shared" si="1"/>
        <v>0</v>
      </c>
    </row>
    <row r="87" spans="1:9">
      <c r="A87" s="156" t="s">
        <v>423</v>
      </c>
      <c r="B87" s="119">
        <v>0</v>
      </c>
      <c r="C87" s="128" t="s">
        <v>424</v>
      </c>
      <c r="D87" s="128">
        <v>1500</v>
      </c>
      <c r="E87" s="95">
        <f>VLOOKUP(A87,'Balancete 2014'!A:D,4,0)</f>
        <v>1500</v>
      </c>
      <c r="H87" s="95" t="e">
        <v>#N/A</v>
      </c>
      <c r="I87" s="99">
        <f t="shared" si="1"/>
        <v>0</v>
      </c>
    </row>
    <row r="88" spans="1:9">
      <c r="A88" s="156" t="s">
        <v>425</v>
      </c>
      <c r="B88" s="119">
        <v>-9</v>
      </c>
      <c r="C88" s="128" t="s">
        <v>893</v>
      </c>
      <c r="D88" s="128">
        <v>1500</v>
      </c>
      <c r="E88" s="95">
        <f>VLOOKUP(A88,'Balancete 2014'!A:D,4,0)</f>
        <v>1500</v>
      </c>
      <c r="H88" s="95" t="e">
        <v>#N/A</v>
      </c>
      <c r="I88" s="99">
        <f t="shared" si="1"/>
        <v>0</v>
      </c>
    </row>
    <row r="89" spans="1:9">
      <c r="A89" s="156" t="s">
        <v>36</v>
      </c>
      <c r="B89" s="119">
        <v>-4</v>
      </c>
      <c r="C89" s="128" t="s">
        <v>37</v>
      </c>
      <c r="D89" s="128">
        <v>-1500</v>
      </c>
      <c r="E89" s="95">
        <f>VLOOKUP(A89,'Balancete 2014'!A:D,4,0)</f>
        <v>-1425</v>
      </c>
      <c r="H89" s="95">
        <v>-1125</v>
      </c>
      <c r="I89" s="99">
        <f t="shared" si="1"/>
        <v>-75</v>
      </c>
    </row>
    <row r="90" spans="1:9">
      <c r="A90" s="156" t="s">
        <v>38</v>
      </c>
      <c r="B90" s="119">
        <v>0</v>
      </c>
      <c r="C90" s="128" t="s">
        <v>426</v>
      </c>
      <c r="D90" s="128">
        <v>-1500</v>
      </c>
      <c r="E90" s="95">
        <f>VLOOKUP(A90,'Balancete 2014'!A:D,4,0)</f>
        <v>-1425</v>
      </c>
      <c r="H90" s="95">
        <v>-1125</v>
      </c>
      <c r="I90" s="99">
        <f t="shared" si="1"/>
        <v>-75</v>
      </c>
    </row>
    <row r="91" spans="1:9">
      <c r="A91" s="156" t="s">
        <v>39</v>
      </c>
      <c r="B91" s="119">
        <v>-4</v>
      </c>
      <c r="C91" s="128" t="s">
        <v>894</v>
      </c>
      <c r="D91" s="128">
        <v>-1500</v>
      </c>
      <c r="E91" s="95">
        <f>VLOOKUP(A91,'Balancete 2014'!A:D,4,0)</f>
        <v>-1425</v>
      </c>
      <c r="H91" s="95">
        <v>-1125</v>
      </c>
      <c r="I91" s="99">
        <f t="shared" si="1"/>
        <v>-75</v>
      </c>
    </row>
    <row r="92" spans="1:9">
      <c r="A92" s="156">
        <v>3</v>
      </c>
      <c r="B92" s="119">
        <v>0</v>
      </c>
      <c r="C92" s="128" t="s">
        <v>626</v>
      </c>
      <c r="D92" s="128">
        <v>98361900.319999993</v>
      </c>
      <c r="E92" s="95">
        <f>VLOOKUP(A92,'Balancete 2014'!A:D,4,0)</f>
        <v>74647059.890000001</v>
      </c>
      <c r="G92" s="94">
        <f>+D92-D222</f>
        <v>98343861.029999986</v>
      </c>
      <c r="H92" s="95">
        <v>50217802.609999999</v>
      </c>
      <c r="I92" s="99">
        <f t="shared" si="1"/>
        <v>23714840.429999992</v>
      </c>
    </row>
    <row r="93" spans="1:9">
      <c r="A93" s="156" t="s">
        <v>627</v>
      </c>
      <c r="B93" s="119">
        <v>0</v>
      </c>
      <c r="C93" s="128" t="s">
        <v>626</v>
      </c>
      <c r="D93" s="128">
        <v>98361900.319999993</v>
      </c>
      <c r="E93" s="95">
        <f>VLOOKUP(A93,'Balancete 2014'!A:D,4,0)</f>
        <v>74647059.890000001</v>
      </c>
      <c r="H93" s="95">
        <v>50217802.609999999</v>
      </c>
      <c r="I93" s="99">
        <f t="shared" si="1"/>
        <v>23714840.429999992</v>
      </c>
    </row>
    <row r="94" spans="1:9">
      <c r="A94" s="156" t="s">
        <v>628</v>
      </c>
      <c r="B94" s="119">
        <v>-3</v>
      </c>
      <c r="C94" s="128" t="s">
        <v>629</v>
      </c>
      <c r="D94" s="128">
        <v>98361900.319999993</v>
      </c>
      <c r="E94" s="95">
        <f>VLOOKUP(A94,'Balancete 2014'!A:D,4,0)</f>
        <v>74647059.890000001</v>
      </c>
      <c r="H94" s="95">
        <v>50217802.609999999</v>
      </c>
      <c r="I94" s="99">
        <f t="shared" si="1"/>
        <v>23714840.429999992</v>
      </c>
    </row>
    <row r="95" spans="1:9">
      <c r="A95" s="156" t="s">
        <v>630</v>
      </c>
      <c r="B95" s="119">
        <v>-7</v>
      </c>
      <c r="C95" s="128" t="s">
        <v>631</v>
      </c>
      <c r="D95" s="128">
        <v>98361900.319999993</v>
      </c>
      <c r="E95" s="95">
        <f>VLOOKUP(A95,'Balancete 2014'!A:D,4,0)</f>
        <v>74647059.890000001</v>
      </c>
      <c r="H95" s="95">
        <v>50217802.609999999</v>
      </c>
      <c r="I95" s="99">
        <f t="shared" si="1"/>
        <v>23714840.429999992</v>
      </c>
    </row>
    <row r="96" spans="1:9">
      <c r="A96" s="156" t="s">
        <v>632</v>
      </c>
      <c r="B96" s="119">
        <v>-3</v>
      </c>
      <c r="C96" s="128" t="s">
        <v>631</v>
      </c>
      <c r="D96" s="128">
        <v>98361900.319999993</v>
      </c>
      <c r="E96" s="95">
        <f>VLOOKUP(A96,'Balancete 2014'!A:D,4,0)</f>
        <v>74647059.890000001</v>
      </c>
      <c r="H96" s="95">
        <v>50217802.609999999</v>
      </c>
      <c r="I96" s="99">
        <f t="shared" si="1"/>
        <v>23714840.429999992</v>
      </c>
    </row>
    <row r="97" spans="1:9">
      <c r="A97" s="156" t="s">
        <v>633</v>
      </c>
      <c r="B97" s="119">
        <v>-8</v>
      </c>
      <c r="C97" s="128" t="s">
        <v>634</v>
      </c>
      <c r="D97" s="128">
        <v>42865000</v>
      </c>
      <c r="E97" s="95">
        <f>VLOOKUP(A97,'Balancete 2014'!A:D,4,0)</f>
        <v>35006416.810000002</v>
      </c>
      <c r="H97" s="95">
        <v>26433416.77</v>
      </c>
      <c r="I97" s="99">
        <f t="shared" si="1"/>
        <v>7858583.1899999976</v>
      </c>
    </row>
    <row r="98" spans="1:9">
      <c r="A98" s="156" t="s">
        <v>635</v>
      </c>
      <c r="B98" s="119">
        <v>-6</v>
      </c>
      <c r="C98" s="128" t="s">
        <v>636</v>
      </c>
      <c r="D98" s="128">
        <v>55496900.32</v>
      </c>
      <c r="E98" s="95">
        <f>VLOOKUP(A98,'Balancete 2014'!A:D,4,0)</f>
        <v>39640643.079999998</v>
      </c>
      <c r="H98" s="95">
        <v>23784385.84</v>
      </c>
      <c r="I98" s="99">
        <f t="shared" si="1"/>
        <v>15856257.240000002</v>
      </c>
    </row>
    <row r="99" spans="1:9">
      <c r="A99" s="156">
        <v>8</v>
      </c>
      <c r="B99" s="119">
        <v>-1</v>
      </c>
      <c r="C99" s="128" t="s">
        <v>40</v>
      </c>
      <c r="D99" s="128">
        <v>70986812.579999998</v>
      </c>
      <c r="E99" s="95">
        <f>VLOOKUP(A99,'Balancete 2014'!A:D,4,0)</f>
        <v>246432966.33000001</v>
      </c>
      <c r="H99" s="95">
        <v>236857050.52000001</v>
      </c>
      <c r="I99" s="99">
        <f t="shared" si="1"/>
        <v>-175446153.75</v>
      </c>
    </row>
    <row r="100" spans="1:9">
      <c r="A100" s="156" t="s">
        <v>41</v>
      </c>
      <c r="B100" s="119">
        <v>-9</v>
      </c>
      <c r="C100" s="128" t="s">
        <v>42</v>
      </c>
      <c r="D100" s="128">
        <v>56454960.25</v>
      </c>
      <c r="E100" s="95">
        <f>VLOOKUP(A100,'Balancete 2014'!A:D,4,0)</f>
        <v>208354145.44999999</v>
      </c>
      <c r="H100" s="95">
        <v>219982487.56</v>
      </c>
      <c r="I100" s="99">
        <f t="shared" si="1"/>
        <v>-151899185.19999999</v>
      </c>
    </row>
    <row r="101" spans="1:9">
      <c r="A101" s="156" t="s">
        <v>334</v>
      </c>
      <c r="B101" s="119">
        <v>-8</v>
      </c>
      <c r="C101" s="128" t="s">
        <v>43</v>
      </c>
      <c r="D101" s="128">
        <v>47042340.520000003</v>
      </c>
      <c r="E101" s="95">
        <f>VLOOKUP(A101,'Balancete 2014'!A:D,4,0)</f>
        <v>179937188.61000001</v>
      </c>
      <c r="H101" s="95">
        <v>204216413.84</v>
      </c>
      <c r="I101" s="99">
        <f t="shared" si="1"/>
        <v>-132894848.09</v>
      </c>
    </row>
    <row r="102" spans="1:9">
      <c r="A102" s="156" t="s">
        <v>44</v>
      </c>
      <c r="B102" s="119">
        <v>-5</v>
      </c>
      <c r="C102" s="128" t="s">
        <v>45</v>
      </c>
      <c r="D102" s="128">
        <v>47042340.520000003</v>
      </c>
      <c r="E102" s="95">
        <f>VLOOKUP(A102,'Balancete 2014'!A:D,4,0)</f>
        <v>179937188.61000001</v>
      </c>
      <c r="H102" s="95">
        <v>204216413.84</v>
      </c>
      <c r="I102" s="99">
        <f t="shared" si="1"/>
        <v>-132894848.09</v>
      </c>
    </row>
    <row r="103" spans="1:9">
      <c r="A103" s="156" t="s">
        <v>46</v>
      </c>
      <c r="B103" s="119">
        <v>0</v>
      </c>
      <c r="C103" s="128" t="s">
        <v>47</v>
      </c>
      <c r="D103" s="128">
        <v>47042340.520000003</v>
      </c>
      <c r="E103" s="95">
        <f>VLOOKUP(A103,'Balancete 2014'!A:D,4,0)</f>
        <v>179937188.61000001</v>
      </c>
      <c r="H103" s="95">
        <v>204216413.84</v>
      </c>
      <c r="I103" s="99">
        <f t="shared" si="1"/>
        <v>-132894848.09</v>
      </c>
    </row>
    <row r="104" spans="1:9">
      <c r="A104" s="156" t="s">
        <v>48</v>
      </c>
      <c r="B104" s="119">
        <v>-5</v>
      </c>
      <c r="C104" s="128" t="s">
        <v>895</v>
      </c>
      <c r="D104" s="128">
        <v>26193235.66</v>
      </c>
      <c r="E104" s="95">
        <f>VLOOKUP(A104,'Balancete 2014'!A:D,4,0)</f>
        <v>154639990.65000001</v>
      </c>
      <c r="H104" s="95">
        <v>142361972.31</v>
      </c>
      <c r="I104" s="99">
        <f t="shared" si="1"/>
        <v>-128446754.99000001</v>
      </c>
    </row>
    <row r="105" spans="1:9">
      <c r="A105" s="156" t="s">
        <v>49</v>
      </c>
      <c r="B105" s="119">
        <v>-3</v>
      </c>
      <c r="C105" s="128" t="s">
        <v>896</v>
      </c>
      <c r="D105" s="128">
        <v>11640427.859999999</v>
      </c>
      <c r="E105" s="95">
        <f>VLOOKUP(A105,'Balancete 2014'!A:D,4,0)</f>
        <v>22132358.16</v>
      </c>
      <c r="H105" s="95">
        <v>56911241.530000001</v>
      </c>
      <c r="I105" s="99">
        <f t="shared" si="1"/>
        <v>-10491930.300000001</v>
      </c>
    </row>
    <row r="106" spans="1:9">
      <c r="A106" s="156" t="s">
        <v>50</v>
      </c>
      <c r="B106" s="119">
        <v>-2</v>
      </c>
      <c r="C106" s="128" t="s">
        <v>970</v>
      </c>
      <c r="D106" s="128">
        <v>9208677</v>
      </c>
      <c r="E106" s="95">
        <f>VLOOKUP(A106,'Balancete 2014'!A:D,4,0)</f>
        <v>3164839.8</v>
      </c>
      <c r="H106" s="95">
        <v>4943200</v>
      </c>
      <c r="I106" s="99">
        <f t="shared" si="1"/>
        <v>6043837.2000000002</v>
      </c>
    </row>
    <row r="107" spans="1:9">
      <c r="A107" s="156" t="s">
        <v>51</v>
      </c>
      <c r="B107" s="119">
        <v>-6</v>
      </c>
      <c r="C107" s="128" t="s">
        <v>52</v>
      </c>
      <c r="D107" s="128">
        <v>6423807.6600000001</v>
      </c>
      <c r="E107" s="95">
        <f>VLOOKUP(A107,'Balancete 2014'!A:D,4,0)</f>
        <v>10351422.710000001</v>
      </c>
      <c r="H107" s="95">
        <v>8160087.8700000001</v>
      </c>
      <c r="I107" s="99">
        <f t="shared" si="1"/>
        <v>-3927615.0500000007</v>
      </c>
    </row>
    <row r="108" spans="1:9">
      <c r="A108" s="156" t="s">
        <v>53</v>
      </c>
      <c r="B108" s="119">
        <v>0</v>
      </c>
      <c r="C108" s="128" t="s">
        <v>54</v>
      </c>
      <c r="D108" s="128">
        <v>13201.73</v>
      </c>
      <c r="E108" s="95">
        <f>VLOOKUP(A108,'Balancete 2014'!A:D,4,0)</f>
        <v>14807.52</v>
      </c>
      <c r="H108" s="95">
        <v>14832.89</v>
      </c>
      <c r="I108" s="99">
        <f t="shared" si="1"/>
        <v>-1605.7900000000009</v>
      </c>
    </row>
    <row r="109" spans="1:9">
      <c r="A109" s="156" t="s">
        <v>55</v>
      </c>
      <c r="B109" s="119">
        <v>-1</v>
      </c>
      <c r="C109" s="128" t="s">
        <v>54</v>
      </c>
      <c r="D109" s="128">
        <v>13201.73</v>
      </c>
      <c r="E109" s="95">
        <f>VLOOKUP(A109,'Balancete 2014'!A:D,4,0)</f>
        <v>14807.52</v>
      </c>
      <c r="H109" s="95">
        <v>14832.89</v>
      </c>
      <c r="I109" s="99">
        <f t="shared" si="1"/>
        <v>-1605.7900000000009</v>
      </c>
    </row>
    <row r="110" spans="1:9">
      <c r="A110" s="156" t="s">
        <v>56</v>
      </c>
      <c r="B110" s="119">
        <v>0</v>
      </c>
      <c r="C110" s="128" t="s">
        <v>802</v>
      </c>
      <c r="D110" s="128">
        <v>13201.73</v>
      </c>
      <c r="E110" s="95">
        <f>VLOOKUP(A110,'Balancete 2014'!A:D,4,0)</f>
        <v>14807.52</v>
      </c>
      <c r="H110" s="95">
        <v>14832.89</v>
      </c>
      <c r="I110" s="99">
        <f t="shared" si="1"/>
        <v>-1605.7900000000009</v>
      </c>
    </row>
    <row r="111" spans="1:9">
      <c r="A111" s="156" t="s">
        <v>57</v>
      </c>
      <c r="B111" s="119">
        <v>-3</v>
      </c>
      <c r="C111" s="128" t="s">
        <v>58</v>
      </c>
      <c r="D111" s="128">
        <v>127840.6</v>
      </c>
      <c r="E111" s="95">
        <f>VLOOKUP(A111,'Balancete 2014'!A:D,4,0)</f>
        <v>203163.67</v>
      </c>
      <c r="H111" s="95">
        <v>178085.88</v>
      </c>
      <c r="I111" s="99">
        <f t="shared" si="1"/>
        <v>-75323.070000000007</v>
      </c>
    </row>
    <row r="112" spans="1:9">
      <c r="A112" s="156" t="s">
        <v>59</v>
      </c>
      <c r="B112" s="119">
        <v>-5</v>
      </c>
      <c r="C112" s="128" t="s">
        <v>58</v>
      </c>
      <c r="D112" s="128">
        <v>127840.6</v>
      </c>
      <c r="E112" s="95">
        <f>VLOOKUP(A112,'Balancete 2014'!A:D,4,0)</f>
        <v>203163.67</v>
      </c>
      <c r="H112" s="95">
        <v>178085.88</v>
      </c>
      <c r="I112" s="99">
        <f t="shared" si="1"/>
        <v>-75323.070000000007</v>
      </c>
    </row>
    <row r="113" spans="1:9">
      <c r="A113" s="156" t="s">
        <v>60</v>
      </c>
      <c r="B113" s="119">
        <v>-3</v>
      </c>
      <c r="C113" s="128" t="s">
        <v>58</v>
      </c>
      <c r="D113" s="128">
        <v>127840.6</v>
      </c>
      <c r="E113" s="95">
        <f>VLOOKUP(A113,'Balancete 2014'!A:D,4,0)</f>
        <v>203163.67</v>
      </c>
      <c r="H113" s="95">
        <v>178085.88</v>
      </c>
      <c r="I113" s="99">
        <f t="shared" si="1"/>
        <v>-75323.070000000007</v>
      </c>
    </row>
    <row r="114" spans="1:9">
      <c r="A114" s="156" t="s">
        <v>61</v>
      </c>
      <c r="B114" s="119">
        <v>-6</v>
      </c>
      <c r="C114" s="128" t="s">
        <v>62</v>
      </c>
      <c r="D114" s="128">
        <v>1599392.25</v>
      </c>
      <c r="E114" s="95">
        <f>VLOOKUP(A114,'Balancete 2014'!A:D,4,0)</f>
        <v>2353974.4900000002</v>
      </c>
      <c r="H114" s="95">
        <v>1764837.59</v>
      </c>
      <c r="I114" s="99">
        <f t="shared" si="1"/>
        <v>-754582.24000000022</v>
      </c>
    </row>
    <row r="115" spans="1:9">
      <c r="A115" s="156" t="s">
        <v>63</v>
      </c>
      <c r="B115" s="119">
        <v>-3</v>
      </c>
      <c r="C115" s="128" t="s">
        <v>803</v>
      </c>
      <c r="D115" s="128">
        <v>1599392.25</v>
      </c>
      <c r="E115" s="95">
        <f>VLOOKUP(A115,'Balancete 2014'!A:D,4,0)</f>
        <v>2353974.4900000002</v>
      </c>
      <c r="H115" s="95">
        <v>1764837.59</v>
      </c>
      <c r="I115" s="99">
        <f t="shared" si="1"/>
        <v>-754582.24000000022</v>
      </c>
    </row>
    <row r="116" spans="1:9">
      <c r="A116" s="156" t="s">
        <v>64</v>
      </c>
      <c r="B116" s="119">
        <v>-1</v>
      </c>
      <c r="C116" s="128" t="s">
        <v>804</v>
      </c>
      <c r="D116" s="128">
        <v>1013275.06</v>
      </c>
      <c r="E116" s="95">
        <f>VLOOKUP(A116,'Balancete 2014'!A:D,4,0)</f>
        <v>1688457.37</v>
      </c>
      <c r="H116" s="95">
        <v>1247109.55</v>
      </c>
      <c r="I116" s="99">
        <f t="shared" si="1"/>
        <v>-675182.31</v>
      </c>
    </row>
    <row r="117" spans="1:9">
      <c r="A117" s="156" t="s">
        <v>65</v>
      </c>
      <c r="B117" s="119">
        <v>0</v>
      </c>
      <c r="C117" s="128" t="s">
        <v>805</v>
      </c>
      <c r="D117" s="128">
        <v>96532.88</v>
      </c>
      <c r="E117" s="95">
        <f>VLOOKUP(A117,'Balancete 2014'!A:D,4,0)</f>
        <v>114779.71</v>
      </c>
      <c r="H117" s="95">
        <v>85225.19</v>
      </c>
      <c r="I117" s="99">
        <f t="shared" si="1"/>
        <v>-18246.830000000002</v>
      </c>
    </row>
    <row r="118" spans="1:9">
      <c r="A118" s="156" t="s">
        <v>66</v>
      </c>
      <c r="B118" s="119">
        <v>-8</v>
      </c>
      <c r="C118" s="128" t="s">
        <v>806</v>
      </c>
      <c r="D118" s="128">
        <v>290810.71999999997</v>
      </c>
      <c r="E118" s="95">
        <f>VLOOKUP(A118,'Balancete 2014'!A:D,4,0)</f>
        <v>313339.5</v>
      </c>
      <c r="H118" s="95">
        <v>248070.85</v>
      </c>
      <c r="I118" s="99">
        <f t="shared" si="1"/>
        <v>-22528.780000000028</v>
      </c>
    </row>
    <row r="119" spans="1:9">
      <c r="A119" s="156" t="s">
        <v>67</v>
      </c>
      <c r="B119" s="119">
        <v>-4</v>
      </c>
      <c r="C119" s="128" t="s">
        <v>897</v>
      </c>
      <c r="D119" s="128">
        <v>10562.97</v>
      </c>
      <c r="E119" s="95">
        <f>VLOOKUP(A119,'Balancete 2014'!A:D,4,0)</f>
        <v>143226.23000000001</v>
      </c>
      <c r="H119" s="95">
        <v>49636.160000000003</v>
      </c>
      <c r="I119" s="99">
        <f t="shared" si="1"/>
        <v>-132663.26</v>
      </c>
    </row>
    <row r="120" spans="1:9">
      <c r="A120" s="156" t="s">
        <v>68</v>
      </c>
      <c r="B120" s="119">
        <v>0</v>
      </c>
      <c r="C120" s="128" t="s">
        <v>807</v>
      </c>
      <c r="D120" s="128">
        <v>40246.76</v>
      </c>
      <c r="E120" s="95">
        <f>VLOOKUP(A120,'Balancete 2014'!A:D,4,0)</f>
        <v>34639.360000000001</v>
      </c>
      <c r="H120" s="95">
        <v>30241.439999999999</v>
      </c>
      <c r="I120" s="99">
        <f t="shared" si="1"/>
        <v>5607.4000000000015</v>
      </c>
    </row>
    <row r="121" spans="1:9">
      <c r="A121" s="156" t="s">
        <v>439</v>
      </c>
      <c r="B121" s="119">
        <v>0</v>
      </c>
      <c r="C121" s="128" t="s">
        <v>808</v>
      </c>
      <c r="D121" s="128">
        <v>76274.5</v>
      </c>
      <c r="E121" s="95" t="e">
        <f>VLOOKUP(A121,'Balancete 2014'!A:D,4,0)</f>
        <v>#N/A</v>
      </c>
      <c r="H121" s="95" t="e">
        <v>#N/A</v>
      </c>
      <c r="I121" s="99" t="e">
        <f t="shared" si="1"/>
        <v>#N/A</v>
      </c>
    </row>
    <row r="122" spans="1:9">
      <c r="A122" s="156" t="s">
        <v>441</v>
      </c>
      <c r="B122" s="119">
        <v>-9</v>
      </c>
      <c r="C122" s="128" t="s">
        <v>809</v>
      </c>
      <c r="D122" s="128">
        <v>6101.96</v>
      </c>
      <c r="E122" s="95" t="e">
        <f>VLOOKUP(A122,'Balancete 2014'!A:D,4,0)</f>
        <v>#N/A</v>
      </c>
      <c r="H122" s="95" t="e">
        <v>#N/A</v>
      </c>
      <c r="I122" s="99" t="e">
        <f t="shared" si="1"/>
        <v>#N/A</v>
      </c>
    </row>
    <row r="123" spans="1:9">
      <c r="A123" s="156" t="s">
        <v>443</v>
      </c>
      <c r="B123" s="119">
        <v>-7</v>
      </c>
      <c r="C123" s="128" t="s">
        <v>810</v>
      </c>
      <c r="D123" s="128">
        <v>15254.9</v>
      </c>
      <c r="E123" s="95" t="e">
        <f>VLOOKUP(A123,'Balancete 2014'!A:D,4,0)</f>
        <v>#N/A</v>
      </c>
      <c r="H123" s="95" t="e">
        <v>#N/A</v>
      </c>
      <c r="I123" s="99" t="e">
        <f t="shared" si="1"/>
        <v>#N/A</v>
      </c>
    </row>
    <row r="124" spans="1:9">
      <c r="A124" s="156" t="s">
        <v>445</v>
      </c>
      <c r="B124" s="119">
        <v>-5</v>
      </c>
      <c r="C124" s="128" t="s">
        <v>811</v>
      </c>
      <c r="D124" s="128">
        <v>9152.94</v>
      </c>
      <c r="E124" s="95" t="e">
        <f>VLOOKUP(A124,'Balancete 2014'!A:D,4,0)</f>
        <v>#N/A</v>
      </c>
      <c r="H124" s="95" t="e">
        <v>#N/A</v>
      </c>
      <c r="I124" s="99" t="e">
        <f t="shared" si="1"/>
        <v>#N/A</v>
      </c>
    </row>
    <row r="125" spans="1:9">
      <c r="A125" s="156" t="s">
        <v>69</v>
      </c>
      <c r="B125" s="119">
        <v>-3</v>
      </c>
      <c r="C125" s="128" t="s">
        <v>812</v>
      </c>
      <c r="D125" s="128">
        <v>34755.269999999997</v>
      </c>
      <c r="E125" s="95">
        <f>VLOOKUP(A125,'Balancete 2014'!A:D,4,0)</f>
        <v>30791.21</v>
      </c>
      <c r="H125" s="95">
        <v>74532.259999999995</v>
      </c>
      <c r="I125" s="99">
        <f t="shared" si="1"/>
        <v>3964.0599999999977</v>
      </c>
    </row>
    <row r="126" spans="1:9">
      <c r="A126" s="156" t="s">
        <v>71</v>
      </c>
      <c r="B126" s="119">
        <v>0</v>
      </c>
      <c r="C126" s="128" t="s">
        <v>813</v>
      </c>
      <c r="D126" s="128">
        <v>6424.29</v>
      </c>
      <c r="E126" s="95" t="e">
        <f>VLOOKUP(A126,'Balancete 2014'!A:D,4,0)</f>
        <v>#N/A</v>
      </c>
      <c r="H126" s="95">
        <v>7862.11</v>
      </c>
      <c r="I126" s="99" t="e">
        <f t="shared" si="1"/>
        <v>#N/A</v>
      </c>
    </row>
    <row r="127" spans="1:9">
      <c r="A127" s="156" t="s">
        <v>72</v>
      </c>
      <c r="B127" s="119">
        <v>-8</v>
      </c>
      <c r="C127" s="128" t="s">
        <v>73</v>
      </c>
      <c r="D127" s="128">
        <v>54034.62</v>
      </c>
      <c r="E127" s="95">
        <f>VLOOKUP(A127,'Balancete 2014'!A:D,4,0)</f>
        <v>71545.98</v>
      </c>
      <c r="H127" s="95">
        <v>56070.12</v>
      </c>
      <c r="I127" s="99">
        <f t="shared" si="1"/>
        <v>-17511.359999999993</v>
      </c>
    </row>
    <row r="128" spans="1:9">
      <c r="A128" s="156" t="s">
        <v>74</v>
      </c>
      <c r="B128" s="119">
        <v>0</v>
      </c>
      <c r="C128" s="128" t="s">
        <v>814</v>
      </c>
      <c r="D128" s="128">
        <v>54034.62</v>
      </c>
      <c r="E128" s="95">
        <f>VLOOKUP(A128,'Balancete 2014'!A:D,4,0)</f>
        <v>71545.98</v>
      </c>
      <c r="H128" s="95">
        <v>56070.12</v>
      </c>
      <c r="I128" s="99">
        <f t="shared" si="1"/>
        <v>-17511.359999999993</v>
      </c>
    </row>
    <row r="129" spans="1:9">
      <c r="A129" s="156" t="s">
        <v>76</v>
      </c>
      <c r="B129" s="119">
        <v>-8</v>
      </c>
      <c r="C129" s="128" t="s">
        <v>815</v>
      </c>
      <c r="D129" s="128">
        <v>54034.62</v>
      </c>
      <c r="E129" s="95">
        <f>VLOOKUP(A129,'Balancete 2014'!A:D,4,0)</f>
        <v>71545.98</v>
      </c>
      <c r="H129" s="95">
        <v>56070.12</v>
      </c>
      <c r="I129" s="99">
        <f t="shared" si="1"/>
        <v>-17511.359999999993</v>
      </c>
    </row>
    <row r="130" spans="1:9">
      <c r="A130" s="156" t="s">
        <v>77</v>
      </c>
      <c r="B130" s="119">
        <v>-5</v>
      </c>
      <c r="C130" s="128" t="s">
        <v>78</v>
      </c>
      <c r="D130" s="128">
        <v>412061.85</v>
      </c>
      <c r="E130" s="95">
        <f>VLOOKUP(A130,'Balancete 2014'!A:D,4,0)</f>
        <v>239017.62</v>
      </c>
      <c r="H130" s="95">
        <v>204821.31</v>
      </c>
      <c r="I130" s="99">
        <f t="shared" si="1"/>
        <v>173044.22999999998</v>
      </c>
    </row>
    <row r="131" spans="1:9">
      <c r="A131" s="156" t="s">
        <v>79</v>
      </c>
      <c r="B131" s="119">
        <v>-3</v>
      </c>
      <c r="C131" s="128" t="s">
        <v>78</v>
      </c>
      <c r="D131" s="128">
        <v>412061.85</v>
      </c>
      <c r="E131" s="95">
        <f>VLOOKUP(A131,'Balancete 2014'!A:D,4,0)</f>
        <v>239017.62</v>
      </c>
      <c r="H131" s="95">
        <v>204821.31</v>
      </c>
      <c r="I131" s="99">
        <f t="shared" si="1"/>
        <v>173044.22999999998</v>
      </c>
    </row>
    <row r="132" spans="1:9">
      <c r="A132" s="156" t="s">
        <v>80</v>
      </c>
      <c r="B132" s="119">
        <v>-1</v>
      </c>
      <c r="C132" s="128" t="s">
        <v>898</v>
      </c>
      <c r="D132" s="128">
        <v>10919.66</v>
      </c>
      <c r="E132" s="95">
        <f>VLOOKUP(A132,'Balancete 2014'!A:D,4,0)</f>
        <v>24681.7</v>
      </c>
      <c r="H132" s="95">
        <v>14132.23</v>
      </c>
      <c r="I132" s="99">
        <f t="shared" si="1"/>
        <v>-13762.04</v>
      </c>
    </row>
    <row r="133" spans="1:9">
      <c r="A133" s="156" t="s">
        <v>81</v>
      </c>
      <c r="B133" s="119">
        <v>-8</v>
      </c>
      <c r="C133" s="128" t="s">
        <v>816</v>
      </c>
      <c r="D133" s="128">
        <v>118252.4</v>
      </c>
      <c r="E133" s="95">
        <f>VLOOKUP(A133,'Balancete 2014'!A:D,4,0)</f>
        <v>214442.23999999999</v>
      </c>
      <c r="H133" s="95">
        <v>190689.08</v>
      </c>
      <c r="I133" s="99">
        <f t="shared" si="1"/>
        <v>-96189.84</v>
      </c>
    </row>
    <row r="134" spans="1:9">
      <c r="A134" s="156" t="s">
        <v>899</v>
      </c>
      <c r="B134" s="119">
        <v>-9</v>
      </c>
      <c r="C134" s="128" t="s">
        <v>900</v>
      </c>
      <c r="D134" s="128">
        <v>282889.78999999998</v>
      </c>
      <c r="E134" s="95" t="e">
        <f>VLOOKUP(A134,'Balancete 2014'!A:D,4,0)</f>
        <v>#N/A</v>
      </c>
      <c r="H134" s="95" t="e">
        <v>#N/A</v>
      </c>
      <c r="I134" s="99" t="e">
        <f t="shared" si="1"/>
        <v>#N/A</v>
      </c>
    </row>
    <row r="135" spans="1:9">
      <c r="A135" s="156" t="s">
        <v>82</v>
      </c>
      <c r="B135" s="119">
        <v>-7</v>
      </c>
      <c r="C135" s="128" t="s">
        <v>83</v>
      </c>
      <c r="D135" s="128">
        <v>967584.2</v>
      </c>
      <c r="E135" s="95">
        <f>VLOOKUP(A135,'Balancete 2014'!A:D,4,0)</f>
        <v>1658422.32</v>
      </c>
      <c r="H135" s="95">
        <v>1155929.23</v>
      </c>
      <c r="I135" s="99">
        <f t="shared" si="1"/>
        <v>-690838.12000000011</v>
      </c>
    </row>
    <row r="136" spans="1:9">
      <c r="A136" s="156" t="s">
        <v>84</v>
      </c>
      <c r="B136" s="119">
        <v>-5</v>
      </c>
      <c r="C136" s="128" t="s">
        <v>817</v>
      </c>
      <c r="D136" s="128">
        <v>151078.39000000001</v>
      </c>
      <c r="E136" s="95">
        <f>VLOOKUP(A136,'Balancete 2014'!A:D,4,0)</f>
        <v>302860.93</v>
      </c>
      <c r="H136" s="95">
        <v>226281.58</v>
      </c>
      <c r="I136" s="99">
        <f t="shared" si="1"/>
        <v>-151782.53999999998</v>
      </c>
    </row>
    <row r="137" spans="1:9">
      <c r="A137" s="156" t="s">
        <v>85</v>
      </c>
      <c r="B137" s="119">
        <v>-3</v>
      </c>
      <c r="C137" s="128" t="s">
        <v>818</v>
      </c>
      <c r="D137" s="128">
        <v>140270.57</v>
      </c>
      <c r="E137" s="95">
        <f>VLOOKUP(A137,'Balancete 2014'!A:D,4,0)</f>
        <v>286736.36</v>
      </c>
      <c r="H137" s="95">
        <v>211005.53</v>
      </c>
      <c r="I137" s="99">
        <f t="shared" si="1"/>
        <v>-146465.78999999998</v>
      </c>
    </row>
    <row r="138" spans="1:9">
      <c r="A138" s="156" t="s">
        <v>86</v>
      </c>
      <c r="B138" s="119">
        <v>-1</v>
      </c>
      <c r="C138" s="128" t="s">
        <v>819</v>
      </c>
      <c r="D138" s="128">
        <v>10807.82</v>
      </c>
      <c r="E138" s="95">
        <f>VLOOKUP(A138,'Balancete 2014'!A:D,4,0)</f>
        <v>16124.57</v>
      </c>
      <c r="H138" s="95">
        <v>15276.05</v>
      </c>
      <c r="I138" s="99">
        <f t="shared" si="1"/>
        <v>-5316.75</v>
      </c>
    </row>
    <row r="139" spans="1:9">
      <c r="A139" s="156" t="s">
        <v>87</v>
      </c>
      <c r="B139" s="119">
        <v>-7</v>
      </c>
      <c r="C139" s="128" t="s">
        <v>820</v>
      </c>
      <c r="D139" s="128">
        <v>503314.54</v>
      </c>
      <c r="E139" s="95">
        <f>VLOOKUP(A139,'Balancete 2014'!A:D,4,0)</f>
        <v>931482.37</v>
      </c>
      <c r="H139" s="95">
        <v>674325.37</v>
      </c>
      <c r="I139" s="99">
        <f t="shared" si="1"/>
        <v>-428167.83</v>
      </c>
    </row>
    <row r="140" spans="1:9">
      <c r="A140" s="156" t="s">
        <v>88</v>
      </c>
      <c r="B140" s="119">
        <v>-5</v>
      </c>
      <c r="C140" s="128" t="s">
        <v>821</v>
      </c>
      <c r="D140" s="128">
        <v>503314.54</v>
      </c>
      <c r="E140" s="95">
        <f>VLOOKUP(A140,'Balancete 2014'!A:D,4,0)</f>
        <v>931482.37</v>
      </c>
      <c r="H140" s="95">
        <v>674325.37</v>
      </c>
      <c r="I140" s="99">
        <f t="shared" si="1"/>
        <v>-428167.83</v>
      </c>
    </row>
    <row r="141" spans="1:9">
      <c r="A141" s="156" t="s">
        <v>89</v>
      </c>
      <c r="B141" s="119">
        <v>-2</v>
      </c>
      <c r="C141" s="128" t="s">
        <v>822</v>
      </c>
      <c r="D141" s="128">
        <v>235626.3</v>
      </c>
      <c r="E141" s="95">
        <f>VLOOKUP(A141,'Balancete 2014'!A:D,4,0)</f>
        <v>329456.34999999998</v>
      </c>
      <c r="H141" s="95">
        <v>185737.43</v>
      </c>
      <c r="I141" s="99">
        <f t="shared" si="1"/>
        <v>-93830.049999999988</v>
      </c>
    </row>
    <row r="142" spans="1:9">
      <c r="A142" s="156" t="s">
        <v>638</v>
      </c>
      <c r="B142" s="119">
        <v>0</v>
      </c>
      <c r="C142" s="128" t="s">
        <v>823</v>
      </c>
      <c r="D142" s="128">
        <v>200921.05</v>
      </c>
      <c r="E142" s="95">
        <f>VLOOKUP(A142,'Balancete 2014'!A:D,4,0)</f>
        <v>311269.01</v>
      </c>
      <c r="H142" s="95">
        <v>170688.63</v>
      </c>
      <c r="I142" s="99">
        <f t="shared" si="1"/>
        <v>-110347.96000000002</v>
      </c>
    </row>
    <row r="143" spans="1:9">
      <c r="A143" s="156" t="s">
        <v>90</v>
      </c>
      <c r="B143" s="119">
        <v>-9</v>
      </c>
      <c r="C143" s="128" t="s">
        <v>824</v>
      </c>
      <c r="D143" s="128">
        <v>34705.25</v>
      </c>
      <c r="E143" s="95">
        <f>VLOOKUP(A143,'Balancete 2014'!A:D,4,0)</f>
        <v>18187.34</v>
      </c>
      <c r="H143" s="95">
        <v>15048.8</v>
      </c>
      <c r="I143" s="99">
        <f t="shared" si="1"/>
        <v>16517.91</v>
      </c>
    </row>
    <row r="144" spans="1:9">
      <c r="A144" s="156" t="s">
        <v>91</v>
      </c>
      <c r="B144" s="119">
        <v>0</v>
      </c>
      <c r="C144" s="128" t="s">
        <v>825</v>
      </c>
      <c r="D144" s="128">
        <v>77564.97</v>
      </c>
      <c r="E144" s="95">
        <f>VLOOKUP(A144,'Balancete 2014'!A:D,4,0)</f>
        <v>94622.67</v>
      </c>
      <c r="H144" s="95">
        <v>69584.850000000006</v>
      </c>
      <c r="I144" s="99">
        <f t="shared" si="1"/>
        <v>-17057.699999999997</v>
      </c>
    </row>
    <row r="145" spans="1:9">
      <c r="A145" s="156" t="s">
        <v>92</v>
      </c>
      <c r="B145" s="119">
        <v>-9</v>
      </c>
      <c r="C145" s="128" t="s">
        <v>826</v>
      </c>
      <c r="D145" s="128">
        <v>77564.97</v>
      </c>
      <c r="E145" s="95">
        <f>VLOOKUP(A145,'Balancete 2014'!A:D,4,0)</f>
        <v>94622.67</v>
      </c>
      <c r="H145" s="95">
        <v>69584.850000000006</v>
      </c>
      <c r="I145" s="99">
        <f t="shared" si="1"/>
        <v>-17057.699999999997</v>
      </c>
    </row>
    <row r="146" spans="1:9">
      <c r="A146" s="156" t="s">
        <v>93</v>
      </c>
      <c r="B146" s="119">
        <v>0</v>
      </c>
      <c r="C146" s="128" t="s">
        <v>94</v>
      </c>
      <c r="D146" s="128">
        <v>2172053.0699999998</v>
      </c>
      <c r="E146" s="95">
        <f>VLOOKUP(A146,'Balancete 2014'!A:D,4,0)</f>
        <v>3442611.36</v>
      </c>
      <c r="H146" s="95">
        <v>2820690.97</v>
      </c>
      <c r="I146" s="99">
        <f t="shared" si="1"/>
        <v>-1270558.29</v>
      </c>
    </row>
    <row r="147" spans="1:9">
      <c r="A147" s="156" t="s">
        <v>95</v>
      </c>
      <c r="B147" s="119">
        <v>-2</v>
      </c>
      <c r="C147" s="128" t="s">
        <v>94</v>
      </c>
      <c r="D147" s="128">
        <v>2172053.0699999998</v>
      </c>
      <c r="E147" s="95">
        <f>VLOOKUP(A147,'Balancete 2014'!A:D,4,0)</f>
        <v>3442611.36</v>
      </c>
      <c r="H147" s="95">
        <v>2820690.97</v>
      </c>
      <c r="I147" s="99">
        <f t="shared" ref="I147:I196" si="2">+D147-E147</f>
        <v>-1270558.29</v>
      </c>
    </row>
    <row r="148" spans="1:9">
      <c r="A148" s="156" t="s">
        <v>96</v>
      </c>
      <c r="B148" s="119">
        <v>0</v>
      </c>
      <c r="C148" s="128" t="s">
        <v>827</v>
      </c>
      <c r="D148" s="128">
        <v>523497.4</v>
      </c>
      <c r="E148" s="95">
        <f>VLOOKUP(A148,'Balancete 2014'!A:D,4,0)</f>
        <v>865877.22</v>
      </c>
      <c r="H148" s="95">
        <v>702775.2</v>
      </c>
      <c r="I148" s="99">
        <f t="shared" si="2"/>
        <v>-342379.81999999995</v>
      </c>
    </row>
    <row r="149" spans="1:9">
      <c r="A149" s="156" t="s">
        <v>97</v>
      </c>
      <c r="B149" s="119">
        <v>-9</v>
      </c>
      <c r="C149" s="128" t="s">
        <v>828</v>
      </c>
      <c r="D149" s="128">
        <v>728397.45</v>
      </c>
      <c r="E149" s="95">
        <f>VLOOKUP(A149,'Balancete 2014'!A:D,4,0)</f>
        <v>1103577.68</v>
      </c>
      <c r="H149" s="95">
        <v>879066.62</v>
      </c>
      <c r="I149" s="99">
        <f t="shared" si="2"/>
        <v>-375180.23</v>
      </c>
    </row>
    <row r="150" spans="1:9">
      <c r="A150" s="156" t="s">
        <v>98</v>
      </c>
      <c r="B150" s="119">
        <v>-7</v>
      </c>
      <c r="C150" s="128" t="s">
        <v>901</v>
      </c>
      <c r="D150" s="128">
        <v>15614.23</v>
      </c>
      <c r="E150" s="95">
        <f>VLOOKUP(A150,'Balancete 2014'!A:D,4,0)</f>
        <v>79125.73</v>
      </c>
      <c r="H150" s="95">
        <v>31305.88</v>
      </c>
      <c r="I150" s="99">
        <f t="shared" si="2"/>
        <v>-63511.5</v>
      </c>
    </row>
    <row r="151" spans="1:9">
      <c r="A151" s="156" t="s">
        <v>99</v>
      </c>
      <c r="B151" s="119">
        <v>-5</v>
      </c>
      <c r="C151" s="128" t="s">
        <v>902</v>
      </c>
      <c r="D151" s="128">
        <v>35538.35</v>
      </c>
      <c r="E151" s="95">
        <f>VLOOKUP(A151,'Balancete 2014'!A:D,4,0)</f>
        <v>65240.13</v>
      </c>
      <c r="H151" s="95">
        <v>68286.39</v>
      </c>
      <c r="I151" s="99">
        <f t="shared" si="2"/>
        <v>-29701.78</v>
      </c>
    </row>
    <row r="152" spans="1:9">
      <c r="A152" s="156" t="s">
        <v>100</v>
      </c>
      <c r="B152" s="119">
        <v>-1</v>
      </c>
      <c r="C152" s="128" t="s">
        <v>829</v>
      </c>
      <c r="D152" s="128">
        <v>415790.43</v>
      </c>
      <c r="E152" s="95">
        <f>VLOOKUP(A152,'Balancete 2014'!A:D,4,0)</f>
        <v>611912.44999999995</v>
      </c>
      <c r="H152" s="95">
        <v>522172.44</v>
      </c>
      <c r="I152" s="99">
        <f t="shared" si="2"/>
        <v>-196122.01999999996</v>
      </c>
    </row>
    <row r="153" spans="1:9">
      <c r="A153" s="156" t="s">
        <v>101</v>
      </c>
      <c r="B153" s="119">
        <v>-8</v>
      </c>
      <c r="C153" s="128" t="s">
        <v>830</v>
      </c>
      <c r="D153" s="128">
        <v>22696.45</v>
      </c>
      <c r="E153" s="95">
        <f>VLOOKUP(A153,'Balancete 2014'!A:D,4,0)</f>
        <v>37505.410000000003</v>
      </c>
      <c r="H153" s="95">
        <v>32079.599999999999</v>
      </c>
      <c r="I153" s="99">
        <f t="shared" si="2"/>
        <v>-14808.960000000003</v>
      </c>
    </row>
    <row r="154" spans="1:9">
      <c r="A154" s="156" t="s">
        <v>102</v>
      </c>
      <c r="B154" s="119">
        <v>-4</v>
      </c>
      <c r="C154" s="128" t="s">
        <v>831</v>
      </c>
      <c r="D154" s="128">
        <v>135098.03</v>
      </c>
      <c r="E154" s="95">
        <f>VLOOKUP(A154,'Balancete 2014'!A:D,4,0)</f>
        <v>223246.51</v>
      </c>
      <c r="H154" s="95">
        <v>190950.32</v>
      </c>
      <c r="I154" s="99">
        <f t="shared" si="2"/>
        <v>-88148.48000000001</v>
      </c>
    </row>
    <row r="155" spans="1:9">
      <c r="A155" s="156" t="s">
        <v>103</v>
      </c>
      <c r="B155" s="119">
        <v>-2</v>
      </c>
      <c r="C155" s="128" t="s">
        <v>832</v>
      </c>
      <c r="D155" s="128">
        <v>245338.02</v>
      </c>
      <c r="E155" s="95">
        <f>VLOOKUP(A155,'Balancete 2014'!A:D,4,0)</f>
        <v>412820.2</v>
      </c>
      <c r="H155" s="95">
        <v>346665.82</v>
      </c>
      <c r="I155" s="99">
        <f t="shared" si="2"/>
        <v>-167482.18000000002</v>
      </c>
    </row>
    <row r="156" spans="1:9">
      <c r="A156" s="156" t="s">
        <v>104</v>
      </c>
      <c r="B156" s="119">
        <v>0</v>
      </c>
      <c r="C156" s="128" t="s">
        <v>903</v>
      </c>
      <c r="D156" s="128">
        <v>24414.07</v>
      </c>
      <c r="E156" s="95">
        <f>VLOOKUP(A156,'Balancete 2014'!A:D,4,0)</f>
        <v>43155.78</v>
      </c>
      <c r="H156" s="95">
        <v>47342.11</v>
      </c>
      <c r="I156" s="99">
        <f t="shared" si="2"/>
        <v>-18741.71</v>
      </c>
    </row>
    <row r="157" spans="1:9">
      <c r="A157" s="156" t="s">
        <v>105</v>
      </c>
      <c r="B157" s="119">
        <v>-9</v>
      </c>
      <c r="C157" s="128" t="s">
        <v>904</v>
      </c>
      <c r="D157" s="128">
        <v>16.64</v>
      </c>
      <c r="E157" s="95">
        <f>VLOOKUP(A157,'Balancete 2014'!A:D,4,0)</f>
        <v>113.72</v>
      </c>
      <c r="H157" s="95">
        <v>46.59</v>
      </c>
      <c r="I157" s="99">
        <f t="shared" si="2"/>
        <v>-97.08</v>
      </c>
    </row>
    <row r="158" spans="1:9">
      <c r="A158" s="156" t="s">
        <v>476</v>
      </c>
      <c r="B158" s="119">
        <v>-1</v>
      </c>
      <c r="C158" s="128" t="s">
        <v>905</v>
      </c>
      <c r="D158" s="128">
        <v>25652</v>
      </c>
      <c r="E158" s="95">
        <f>VLOOKUP(A158,'Balancete 2014'!A:D,4,0)</f>
        <v>36.53</v>
      </c>
      <c r="H158" s="95" t="e">
        <v>#N/A</v>
      </c>
      <c r="I158" s="99">
        <f t="shared" si="2"/>
        <v>25615.47</v>
      </c>
    </row>
    <row r="159" spans="1:9">
      <c r="A159" s="156" t="s">
        <v>755</v>
      </c>
      <c r="B159" s="119">
        <v>-6</v>
      </c>
      <c r="C159" s="128" t="s">
        <v>833</v>
      </c>
      <c r="D159" s="128">
        <v>23405.16</v>
      </c>
      <c r="E159" s="95" t="e">
        <f>VLOOKUP(A159,'Balancete 2014'!A:D,4,0)</f>
        <v>#N/A</v>
      </c>
      <c r="H159" s="95" t="e">
        <v>#N/A</v>
      </c>
      <c r="I159" s="99" t="e">
        <f t="shared" si="2"/>
        <v>#N/A</v>
      </c>
    </row>
    <row r="160" spans="1:9">
      <c r="A160" s="156" t="s">
        <v>756</v>
      </c>
      <c r="B160" s="119">
        <v>-1</v>
      </c>
      <c r="C160" s="128" t="s">
        <v>833</v>
      </c>
      <c r="D160" s="128">
        <v>23405.16</v>
      </c>
      <c r="E160" s="95" t="e">
        <f>VLOOKUP(A160,'Balancete 2014'!A:D,4,0)</f>
        <v>#N/A</v>
      </c>
      <c r="H160" s="95" t="e">
        <v>#N/A</v>
      </c>
      <c r="I160" s="99" t="e">
        <f t="shared" si="2"/>
        <v>#N/A</v>
      </c>
    </row>
    <row r="161" spans="1:9">
      <c r="A161" s="156" t="s">
        <v>757</v>
      </c>
      <c r="B161" s="119">
        <v>0</v>
      </c>
      <c r="C161" s="128" t="s">
        <v>790</v>
      </c>
      <c r="D161" s="128">
        <v>23405.16</v>
      </c>
      <c r="E161" s="95" t="e">
        <f>VLOOKUP(A161,'Balancete 2014'!A:D,4,0)</f>
        <v>#N/A</v>
      </c>
      <c r="H161" s="95" t="e">
        <v>#N/A</v>
      </c>
      <c r="I161" s="99" t="e">
        <f t="shared" si="2"/>
        <v>#N/A</v>
      </c>
    </row>
    <row r="162" spans="1:9">
      <c r="A162" s="156" t="s">
        <v>106</v>
      </c>
      <c r="B162" s="119">
        <v>-8</v>
      </c>
      <c r="C162" s="128" t="s">
        <v>107</v>
      </c>
      <c r="D162" s="128">
        <v>17349.18</v>
      </c>
      <c r="E162" s="95">
        <f>VLOOKUP(A162,'Balancete 2014'!A:D,4,0)</f>
        <v>20495.25</v>
      </c>
      <c r="H162" s="95">
        <v>20972.880000000001</v>
      </c>
      <c r="I162" s="99">
        <f t="shared" si="2"/>
        <v>-3146.0699999999997</v>
      </c>
    </row>
    <row r="163" spans="1:9">
      <c r="A163" s="156" t="s">
        <v>108</v>
      </c>
      <c r="B163" s="119">
        <v>0</v>
      </c>
      <c r="C163" s="128" t="s">
        <v>834</v>
      </c>
      <c r="D163" s="128">
        <v>17349.18</v>
      </c>
      <c r="E163" s="95">
        <f>VLOOKUP(A163,'Balancete 2014'!A:D,4,0)</f>
        <v>20495.25</v>
      </c>
      <c r="H163" s="95">
        <v>20972.880000000001</v>
      </c>
      <c r="I163" s="99">
        <f t="shared" si="2"/>
        <v>-3146.0699999999997</v>
      </c>
    </row>
    <row r="164" spans="1:9">
      <c r="A164" s="156" t="s">
        <v>109</v>
      </c>
      <c r="B164" s="119">
        <v>-8</v>
      </c>
      <c r="C164" s="128" t="s">
        <v>835</v>
      </c>
      <c r="D164" s="128">
        <v>17349.18</v>
      </c>
      <c r="E164" s="95">
        <f>VLOOKUP(A164,'Balancete 2014'!A:D,4,0)</f>
        <v>20495.25</v>
      </c>
      <c r="H164" s="95">
        <v>20972.880000000001</v>
      </c>
      <c r="I164" s="99">
        <f t="shared" si="2"/>
        <v>-3146.0699999999997</v>
      </c>
    </row>
    <row r="165" spans="1:9">
      <c r="A165" s="156" t="s">
        <v>110</v>
      </c>
      <c r="B165" s="119">
        <v>-1</v>
      </c>
      <c r="C165" s="128" t="s">
        <v>111</v>
      </c>
      <c r="D165" s="128">
        <v>860322.27</v>
      </c>
      <c r="E165" s="95">
        <f>VLOOKUP(A165,'Balancete 2014'!A:D,4,0)</f>
        <v>1584800</v>
      </c>
      <c r="H165" s="95">
        <v>1213000</v>
      </c>
      <c r="I165" s="99">
        <f t="shared" si="2"/>
        <v>-724477.73</v>
      </c>
    </row>
    <row r="166" spans="1:9">
      <c r="A166" s="156" t="s">
        <v>112</v>
      </c>
      <c r="B166" s="119">
        <v>-2</v>
      </c>
      <c r="C166" s="128" t="s">
        <v>906</v>
      </c>
      <c r="D166" s="128">
        <v>860322.27</v>
      </c>
      <c r="E166" s="95">
        <f>VLOOKUP(A166,'Balancete 2014'!A:D,4,0)</f>
        <v>1584800</v>
      </c>
      <c r="H166" s="95">
        <v>1213000</v>
      </c>
      <c r="I166" s="99">
        <f t="shared" si="2"/>
        <v>-724477.73</v>
      </c>
    </row>
    <row r="167" spans="1:9">
      <c r="A167" s="156" t="s">
        <v>113</v>
      </c>
      <c r="B167" s="119">
        <v>0</v>
      </c>
      <c r="C167" s="128" t="s">
        <v>907</v>
      </c>
      <c r="D167" s="128">
        <v>515167</v>
      </c>
      <c r="E167" s="95">
        <f>VLOOKUP(A167,'Balancete 2014'!A:D,4,0)</f>
        <v>1584800</v>
      </c>
      <c r="H167" s="95">
        <v>1213000</v>
      </c>
      <c r="I167" s="99">
        <f t="shared" si="2"/>
        <v>-1069633</v>
      </c>
    </row>
    <row r="168" spans="1:9">
      <c r="A168" s="156" t="s">
        <v>758</v>
      </c>
      <c r="B168" s="119">
        <v>-9</v>
      </c>
      <c r="C168" s="128" t="s">
        <v>908</v>
      </c>
      <c r="D168" s="128">
        <v>345155.27</v>
      </c>
      <c r="E168" s="95" t="e">
        <f>VLOOKUP(A168,'Balancete 2014'!A:D,4,0)</f>
        <v>#N/A</v>
      </c>
      <c r="H168" s="95" t="e">
        <v>#N/A</v>
      </c>
      <c r="I168" s="99" t="e">
        <f t="shared" si="2"/>
        <v>#N/A</v>
      </c>
    </row>
    <row r="169" spans="1:9">
      <c r="A169" s="156" t="s">
        <v>114</v>
      </c>
      <c r="B169" s="119">
        <v>-9</v>
      </c>
      <c r="C169" s="128" t="s">
        <v>115</v>
      </c>
      <c r="D169" s="128">
        <v>204.8</v>
      </c>
      <c r="E169" s="95">
        <f>VLOOKUP(A169,'Balancete 2014'!A:D,4,0)</f>
        <v>607533.81999999995</v>
      </c>
      <c r="H169" s="95">
        <v>6374.6</v>
      </c>
      <c r="I169" s="99">
        <f t="shared" si="2"/>
        <v>-607329.0199999999</v>
      </c>
    </row>
    <row r="170" spans="1:9">
      <c r="A170" s="156" t="s">
        <v>116</v>
      </c>
      <c r="B170" s="119">
        <v>0</v>
      </c>
      <c r="C170" s="128" t="s">
        <v>115</v>
      </c>
      <c r="D170" s="128">
        <v>204.8</v>
      </c>
      <c r="E170" s="95">
        <f>VLOOKUP(A170,'Balancete 2014'!A:D,4,0)</f>
        <v>607533.81999999995</v>
      </c>
      <c r="H170" s="95">
        <v>6374.6</v>
      </c>
      <c r="I170" s="99">
        <f t="shared" si="2"/>
        <v>-607329.0199999999</v>
      </c>
    </row>
    <row r="171" spans="1:9">
      <c r="A171" s="156" t="s">
        <v>117</v>
      </c>
      <c r="B171" s="119">
        <v>-6</v>
      </c>
      <c r="C171" s="128" t="s">
        <v>679</v>
      </c>
      <c r="D171" s="128">
        <v>204.8</v>
      </c>
      <c r="E171" s="95">
        <f>VLOOKUP(A171,'Balancete 2014'!A:D,4,0)</f>
        <v>607533.81999999995</v>
      </c>
      <c r="H171" s="95">
        <v>6374.6</v>
      </c>
      <c r="I171" s="99">
        <f t="shared" si="2"/>
        <v>-607329.0199999999</v>
      </c>
    </row>
    <row r="172" spans="1:9">
      <c r="A172" s="156" t="s">
        <v>122</v>
      </c>
      <c r="B172" s="119">
        <v>0</v>
      </c>
      <c r="C172" s="128" t="s">
        <v>123</v>
      </c>
      <c r="D172" s="128">
        <v>176357.93</v>
      </c>
      <c r="E172" s="95">
        <f>VLOOKUP(A172,'Balancete 2014'!A:D,4,0)</f>
        <v>116481.54</v>
      </c>
      <c r="H172" s="95">
        <v>550792.53</v>
      </c>
      <c r="I172" s="99">
        <f t="shared" si="2"/>
        <v>59876.39</v>
      </c>
    </row>
    <row r="173" spans="1:9">
      <c r="A173" s="156" t="s">
        <v>124</v>
      </c>
      <c r="B173" s="119">
        <v>-7</v>
      </c>
      <c r="C173" s="128" t="s">
        <v>836</v>
      </c>
      <c r="D173" s="128">
        <v>176357.93</v>
      </c>
      <c r="E173" s="95">
        <f>VLOOKUP(A173,'Balancete 2014'!A:D,4,0)</f>
        <v>116481.54</v>
      </c>
      <c r="H173" s="95">
        <v>550792.53</v>
      </c>
      <c r="I173" s="99">
        <f t="shared" si="2"/>
        <v>59876.39</v>
      </c>
    </row>
    <row r="174" spans="1:9">
      <c r="A174" s="156" t="s">
        <v>125</v>
      </c>
      <c r="B174" s="119">
        <v>-6</v>
      </c>
      <c r="C174" s="128" t="s">
        <v>123</v>
      </c>
      <c r="D174" s="128">
        <v>176357.93</v>
      </c>
      <c r="E174" s="95">
        <f>VLOOKUP(A174,'Balancete 2014'!A:D,4,0)</f>
        <v>101471.54</v>
      </c>
      <c r="H174" s="95">
        <v>550752.53</v>
      </c>
      <c r="I174" s="99">
        <f t="shared" si="2"/>
        <v>74886.39</v>
      </c>
    </row>
    <row r="175" spans="1:9">
      <c r="A175" s="156" t="s">
        <v>337</v>
      </c>
      <c r="B175" s="119">
        <v>-2</v>
      </c>
      <c r="C175" s="128" t="s">
        <v>132</v>
      </c>
      <c r="D175" s="128">
        <v>2988812.07</v>
      </c>
      <c r="E175" s="95">
        <f>VLOOKUP(A175,'Balancete 2014'!A:D,4,0)</f>
        <v>18065234.129999999</v>
      </c>
      <c r="H175" s="95">
        <v>7605685.8499999996</v>
      </c>
      <c r="I175" s="99">
        <f t="shared" si="2"/>
        <v>-15076422.059999999</v>
      </c>
    </row>
    <row r="176" spans="1:9">
      <c r="A176" s="156" t="s">
        <v>133</v>
      </c>
      <c r="B176" s="119">
        <v>-3</v>
      </c>
      <c r="C176" s="128" t="s">
        <v>134</v>
      </c>
      <c r="D176" s="128">
        <v>2185606.1800000002</v>
      </c>
      <c r="E176" s="95">
        <f>VLOOKUP(A176,'Balancete 2014'!A:D,4,0)</f>
        <v>5526413.9000000004</v>
      </c>
      <c r="H176" s="95">
        <v>2988573.51</v>
      </c>
      <c r="I176" s="99">
        <f t="shared" si="2"/>
        <v>-3340807.72</v>
      </c>
    </row>
    <row r="177" spans="1:9">
      <c r="A177" s="156" t="s">
        <v>135</v>
      </c>
      <c r="B177" s="119">
        <v>-5</v>
      </c>
      <c r="C177" s="128" t="s">
        <v>134</v>
      </c>
      <c r="D177" s="128">
        <v>2185606.1800000002</v>
      </c>
      <c r="E177" s="95">
        <f>VLOOKUP(A177,'Balancete 2014'!A:D,4,0)</f>
        <v>5449581.4500000002</v>
      </c>
      <c r="H177" s="95">
        <v>2988573.51</v>
      </c>
      <c r="I177" s="99">
        <f t="shared" si="2"/>
        <v>-3263975.27</v>
      </c>
    </row>
    <row r="178" spans="1:9">
      <c r="A178" s="156" t="s">
        <v>136</v>
      </c>
      <c r="B178" s="119">
        <v>-3</v>
      </c>
      <c r="C178" s="128" t="s">
        <v>134</v>
      </c>
      <c r="D178" s="128">
        <v>2185606.1800000002</v>
      </c>
      <c r="E178" s="95">
        <f>VLOOKUP(A178,'Balancete 2014'!A:D,4,0)</f>
        <v>5449581.4500000002</v>
      </c>
      <c r="H178" s="95">
        <v>2988573.51</v>
      </c>
      <c r="I178" s="99">
        <f t="shared" si="2"/>
        <v>-3263975.27</v>
      </c>
    </row>
    <row r="179" spans="1:9">
      <c r="A179" s="156" t="s">
        <v>137</v>
      </c>
      <c r="B179" s="119">
        <v>-7</v>
      </c>
      <c r="C179" s="128" t="s">
        <v>138</v>
      </c>
      <c r="D179" s="128">
        <v>366669.87</v>
      </c>
      <c r="E179" s="95">
        <f>VLOOKUP(A179,'Balancete 2014'!A:D,4,0)</f>
        <v>1199813.55</v>
      </c>
      <c r="H179" s="95">
        <v>648835.05000000005</v>
      </c>
      <c r="I179" s="99">
        <f t="shared" si="2"/>
        <v>-833143.68</v>
      </c>
    </row>
    <row r="180" spans="1:9">
      <c r="A180" s="156" t="s">
        <v>139</v>
      </c>
      <c r="B180" s="119">
        <v>-9</v>
      </c>
      <c r="C180" s="128" t="s">
        <v>138</v>
      </c>
      <c r="D180" s="128">
        <v>366669.87</v>
      </c>
      <c r="E180" s="95">
        <f>VLOOKUP(A180,'Balancete 2014'!A:D,4,0)</f>
        <v>1183132.82</v>
      </c>
      <c r="H180" s="95">
        <v>648835.05000000005</v>
      </c>
      <c r="I180" s="99">
        <f t="shared" si="2"/>
        <v>-816462.95000000007</v>
      </c>
    </row>
    <row r="181" spans="1:9">
      <c r="A181" s="156" t="s">
        <v>140</v>
      </c>
      <c r="B181" s="119">
        <v>-7</v>
      </c>
      <c r="C181" s="128" t="s">
        <v>837</v>
      </c>
      <c r="D181" s="128">
        <v>366669.87</v>
      </c>
      <c r="E181" s="95">
        <f>VLOOKUP(A181,'Balancete 2014'!A:D,4,0)</f>
        <v>1183132.82</v>
      </c>
      <c r="H181" s="95">
        <v>648835.05000000005</v>
      </c>
      <c r="I181" s="99">
        <f t="shared" si="2"/>
        <v>-816462.95000000007</v>
      </c>
    </row>
    <row r="182" spans="1:9">
      <c r="A182" s="156" t="s">
        <v>141</v>
      </c>
      <c r="B182" s="119">
        <v>-6</v>
      </c>
      <c r="C182" s="128" t="s">
        <v>132</v>
      </c>
      <c r="D182" s="128">
        <v>436536.02</v>
      </c>
      <c r="E182" s="95">
        <f>VLOOKUP(A182,'Balancete 2014'!A:D,4,0)</f>
        <v>11339006.68</v>
      </c>
      <c r="H182" s="95">
        <v>3968277.29</v>
      </c>
      <c r="I182" s="99">
        <f t="shared" si="2"/>
        <v>-10902470.66</v>
      </c>
    </row>
    <row r="183" spans="1:9">
      <c r="A183" s="156" t="s">
        <v>142</v>
      </c>
      <c r="B183" s="119">
        <v>-3</v>
      </c>
      <c r="C183" s="128" t="s">
        <v>132</v>
      </c>
      <c r="D183" s="128">
        <v>436536.02</v>
      </c>
      <c r="E183" s="95">
        <f>VLOOKUP(A183,'Balancete 2014'!A:D,4,0)</f>
        <v>11339006.68</v>
      </c>
      <c r="H183" s="95">
        <v>3968277.29</v>
      </c>
      <c r="I183" s="99">
        <f t="shared" si="2"/>
        <v>-10902470.66</v>
      </c>
    </row>
    <row r="184" spans="1:9">
      <c r="A184" s="156" t="s">
        <v>144</v>
      </c>
      <c r="B184" s="119">
        <v>-1</v>
      </c>
      <c r="C184" s="128" t="s">
        <v>838</v>
      </c>
      <c r="D184" s="128">
        <v>538.94000000000005</v>
      </c>
      <c r="E184" s="95">
        <f>VLOOKUP(A184,'Balancete 2014'!A:D,4,0)</f>
        <v>547.33000000000004</v>
      </c>
      <c r="H184" s="95">
        <v>128.22</v>
      </c>
      <c r="I184" s="99">
        <f t="shared" si="2"/>
        <v>-8.3899999999999864</v>
      </c>
    </row>
    <row r="185" spans="1:9">
      <c r="A185" s="156" t="s">
        <v>146</v>
      </c>
      <c r="B185" s="119">
        <v>-4</v>
      </c>
      <c r="C185" s="128" t="s">
        <v>839</v>
      </c>
      <c r="D185" s="128">
        <v>435997.08</v>
      </c>
      <c r="E185" s="95">
        <f>VLOOKUP(A185,'Balancete 2014'!A:D,4,0)</f>
        <v>921432.36</v>
      </c>
      <c r="H185" s="95">
        <v>921432.36</v>
      </c>
      <c r="I185" s="99">
        <f t="shared" si="2"/>
        <v>-485435.27999999997</v>
      </c>
    </row>
    <row r="186" spans="1:9">
      <c r="A186" s="156" t="s">
        <v>147</v>
      </c>
      <c r="B186" s="119">
        <v>-7</v>
      </c>
      <c r="C186" s="128" t="s">
        <v>148</v>
      </c>
      <c r="D186" s="128">
        <v>14531852.33</v>
      </c>
      <c r="E186" s="95">
        <f>VLOOKUP(A186,'Balancete 2014'!A:D,4,0)</f>
        <v>38078820.880000003</v>
      </c>
      <c r="H186" s="95">
        <v>16874562.960000001</v>
      </c>
      <c r="I186" s="99">
        <f t="shared" si="2"/>
        <v>-23546968.550000004</v>
      </c>
    </row>
    <row r="187" spans="1:9">
      <c r="A187" s="156" t="s">
        <v>149</v>
      </c>
      <c r="B187" s="119">
        <v>0</v>
      </c>
      <c r="C187" s="128" t="s">
        <v>150</v>
      </c>
      <c r="D187" s="128">
        <v>14531852.33</v>
      </c>
      <c r="E187" s="95">
        <f>VLOOKUP(A187,'Balancete 2014'!A:D,4,0)</f>
        <v>38078820.880000003</v>
      </c>
      <c r="H187" s="95">
        <v>16874562.960000001</v>
      </c>
      <c r="I187" s="99">
        <f t="shared" si="2"/>
        <v>-23546968.550000004</v>
      </c>
    </row>
    <row r="188" spans="1:9">
      <c r="A188" s="156" t="s">
        <v>151</v>
      </c>
      <c r="B188" s="119">
        <v>-3</v>
      </c>
      <c r="C188" s="128" t="s">
        <v>150</v>
      </c>
      <c r="D188" s="128">
        <v>10682009.07</v>
      </c>
      <c r="E188" s="95">
        <f>VLOOKUP(A188,'Balancete 2014'!A:D,4,0)</f>
        <v>27993038.469999999</v>
      </c>
      <c r="H188" s="95">
        <v>12401434.48</v>
      </c>
      <c r="I188" s="99">
        <f t="shared" si="2"/>
        <v>-17311029.399999999</v>
      </c>
    </row>
    <row r="189" spans="1:9">
      <c r="A189" s="156" t="s">
        <v>341</v>
      </c>
      <c r="B189" s="119">
        <v>-5</v>
      </c>
      <c r="C189" s="128" t="s">
        <v>150</v>
      </c>
      <c r="D189" s="128">
        <v>10683615.140000001</v>
      </c>
      <c r="E189" s="95">
        <f>VLOOKUP(A189,'Balancete 2014'!A:D,4,0)</f>
        <v>27770863.710000001</v>
      </c>
      <c r="H189" s="95">
        <v>12406228.140000001</v>
      </c>
      <c r="I189" s="99">
        <f t="shared" si="2"/>
        <v>-17087248.57</v>
      </c>
    </row>
    <row r="190" spans="1:9">
      <c r="A190" s="156" t="s">
        <v>152</v>
      </c>
      <c r="B190" s="119">
        <v>-3</v>
      </c>
      <c r="C190" s="128" t="s">
        <v>150</v>
      </c>
      <c r="D190" s="128">
        <v>10683615.140000001</v>
      </c>
      <c r="E190" s="95">
        <f>VLOOKUP(A190,'Balancete 2014'!A:D,4,0)</f>
        <v>27770863.710000001</v>
      </c>
      <c r="H190" s="95">
        <v>12406228.140000001</v>
      </c>
      <c r="I190" s="99">
        <f t="shared" si="2"/>
        <v>-17087248.57</v>
      </c>
    </row>
    <row r="191" spans="1:9">
      <c r="A191" s="156" t="s">
        <v>153</v>
      </c>
      <c r="B191" s="119">
        <v>-6</v>
      </c>
      <c r="C191" s="128" t="s">
        <v>840</v>
      </c>
      <c r="D191" s="128">
        <v>-1606.07</v>
      </c>
      <c r="E191" s="95">
        <f>VLOOKUP(A191,'Balancete 2014'!A:D,4,0)</f>
        <v>-7185.28</v>
      </c>
      <c r="H191" s="95">
        <v>-4793.66</v>
      </c>
      <c r="I191" s="99">
        <f t="shared" si="2"/>
        <v>5579.21</v>
      </c>
    </row>
    <row r="192" spans="1:9">
      <c r="A192" s="156" t="s">
        <v>343</v>
      </c>
      <c r="B192" s="119">
        <v>-4</v>
      </c>
      <c r="C192" s="128" t="s">
        <v>841</v>
      </c>
      <c r="D192" s="128">
        <v>-1606.07</v>
      </c>
      <c r="E192" s="95">
        <f>VLOOKUP(A192,'Balancete 2014'!A:D,4,0)</f>
        <v>-7185.28</v>
      </c>
      <c r="H192" s="95">
        <v>-4793.66</v>
      </c>
      <c r="I192" s="99">
        <f t="shared" si="2"/>
        <v>5579.21</v>
      </c>
    </row>
    <row r="193" spans="1:11">
      <c r="A193" s="156" t="s">
        <v>154</v>
      </c>
      <c r="B193" s="119">
        <v>-7</v>
      </c>
      <c r="C193" s="128" t="s">
        <v>155</v>
      </c>
      <c r="D193" s="128">
        <v>3849843.26</v>
      </c>
      <c r="E193" s="95">
        <f>VLOOKUP(A193,'Balancete 2014'!A:D,4,0)</f>
        <v>10085782.41</v>
      </c>
      <c r="H193" s="95">
        <v>4473128.4800000004</v>
      </c>
      <c r="I193" s="99">
        <f t="shared" si="2"/>
        <v>-6235939.1500000004</v>
      </c>
    </row>
    <row r="194" spans="1:11">
      <c r="A194" s="156" t="s">
        <v>342</v>
      </c>
      <c r="B194" s="119">
        <v>-9</v>
      </c>
      <c r="C194" s="128" t="s">
        <v>155</v>
      </c>
      <c r="D194" s="128">
        <v>3850421.45</v>
      </c>
      <c r="E194" s="95">
        <f>VLOOKUP(A194,'Balancete 2014'!A:D,4,0)</f>
        <v>10005799.5</v>
      </c>
      <c r="G194" s="93" t="s">
        <v>519</v>
      </c>
      <c r="H194" s="95">
        <v>4474854.2</v>
      </c>
      <c r="I194" s="99">
        <f t="shared" si="2"/>
        <v>-6155378.0499999998</v>
      </c>
    </row>
    <row r="195" spans="1:11">
      <c r="A195" s="156" t="s">
        <v>156</v>
      </c>
      <c r="B195" s="119">
        <v>-7</v>
      </c>
      <c r="C195" s="128" t="s">
        <v>155</v>
      </c>
      <c r="D195" s="128">
        <v>3850421.45</v>
      </c>
      <c r="E195" s="95">
        <f>VLOOKUP(A195,'Balancete 2014'!A:D,4,0)</f>
        <v>10005799.5</v>
      </c>
      <c r="G195" s="93" t="s">
        <v>526</v>
      </c>
      <c r="H195" s="95">
        <v>4474854.2</v>
      </c>
      <c r="I195" s="99">
        <f t="shared" si="2"/>
        <v>-6155378.0499999998</v>
      </c>
    </row>
    <row r="196" spans="1:11">
      <c r="A196" s="156" t="s">
        <v>157</v>
      </c>
      <c r="B196" s="119">
        <v>0</v>
      </c>
      <c r="C196" s="128" t="s">
        <v>842</v>
      </c>
      <c r="D196" s="128">
        <v>-578.19000000000005</v>
      </c>
      <c r="E196" s="95">
        <f>VLOOKUP(A196,'Balancete 2014'!A:D,4,0)</f>
        <v>-2586.6999999999998</v>
      </c>
      <c r="G196" s="93" t="s">
        <v>170</v>
      </c>
      <c r="H196" s="95">
        <v>-1725.72</v>
      </c>
      <c r="I196" s="99">
        <f t="shared" si="2"/>
        <v>2008.5099999999998</v>
      </c>
    </row>
    <row r="197" spans="1:11">
      <c r="A197" s="156" t="s">
        <v>344</v>
      </c>
      <c r="B197" s="119">
        <v>-8</v>
      </c>
      <c r="C197" s="128" t="s">
        <v>843</v>
      </c>
      <c r="D197" s="128">
        <v>-578.19000000000005</v>
      </c>
      <c r="E197" s="95">
        <f>VLOOKUP(A197,'Balancete 2014'!A:D,4,0)</f>
        <v>-2586.6999999999998</v>
      </c>
      <c r="H197" s="95">
        <v>-1725.72</v>
      </c>
      <c r="I197" s="99">
        <f>+D197-E197</f>
        <v>2008.5099999999998</v>
      </c>
    </row>
    <row r="198" spans="1:11">
      <c r="A198" s="156">
        <v>4</v>
      </c>
      <c r="B198" s="119">
        <v>-6</v>
      </c>
      <c r="C198" s="128" t="s">
        <v>346</v>
      </c>
      <c r="D198" s="128">
        <v>707626443.39999998</v>
      </c>
      <c r="E198" s="95">
        <f>VLOOKUP(A198,'Balancete 2014'!A:D,4,0)</f>
        <v>496468837.75</v>
      </c>
      <c r="H198" s="95" t="e">
        <v>#REF!</v>
      </c>
      <c r="I198" s="99" t="e">
        <f>+#REF!-E198</f>
        <v>#REF!</v>
      </c>
    </row>
    <row r="199" spans="1:11">
      <c r="A199" s="156" t="s">
        <v>158</v>
      </c>
      <c r="B199" s="119">
        <v>-1</v>
      </c>
      <c r="C199" s="128" t="s">
        <v>159</v>
      </c>
      <c r="D199" s="128">
        <v>707626443.39999998</v>
      </c>
      <c r="E199" s="95">
        <f>VLOOKUP(A199,'Balancete 2014'!A:D,4,0)</f>
        <v>496468837.75</v>
      </c>
      <c r="H199" s="95" t="e">
        <v>#REF!</v>
      </c>
      <c r="I199" s="99" t="e">
        <f>+#REF!-E199</f>
        <v>#REF!</v>
      </c>
    </row>
    <row r="200" spans="1:11">
      <c r="A200" s="156" t="s">
        <v>323</v>
      </c>
      <c r="B200" s="119">
        <v>-6</v>
      </c>
      <c r="C200" s="128" t="s">
        <v>308</v>
      </c>
      <c r="D200" s="128">
        <v>16458998.84</v>
      </c>
      <c r="E200" s="95">
        <f>VLOOKUP(A200,'Balancete 2014'!A:D,4,0)</f>
        <v>196736373.74000001</v>
      </c>
      <c r="H200" s="95" t="e">
        <v>#REF!</v>
      </c>
      <c r="I200" s="99" t="e">
        <f>+#REF!-E200</f>
        <v>#REF!</v>
      </c>
    </row>
    <row r="201" spans="1:11">
      <c r="A201" s="156" t="s">
        <v>309</v>
      </c>
      <c r="B201" s="119">
        <v>0</v>
      </c>
      <c r="C201" s="128" t="s">
        <v>310</v>
      </c>
      <c r="D201" s="128">
        <v>16458998.84</v>
      </c>
      <c r="E201" s="95">
        <f>VLOOKUP(A201,'Balancete 2014'!A:D,4,0)</f>
        <v>196736373.74000001</v>
      </c>
      <c r="G201" s="94">
        <v>208428602.47</v>
      </c>
      <c r="H201" s="95" t="e">
        <v>#REF!</v>
      </c>
      <c r="I201" s="99" t="e">
        <f>+#REF!-E201</f>
        <v>#REF!</v>
      </c>
    </row>
    <row r="202" spans="1:11">
      <c r="A202" s="156" t="s">
        <v>311</v>
      </c>
      <c r="B202" s="119">
        <v>-1</v>
      </c>
      <c r="C202" s="128" t="s">
        <v>988</v>
      </c>
      <c r="D202" s="128">
        <v>16458998.84</v>
      </c>
      <c r="E202" s="95">
        <f>VLOOKUP(A202,'Balancete 2014'!A:D,4,0)</f>
        <v>196736373.74000001</v>
      </c>
      <c r="G202" s="100">
        <f>+G201-E202</f>
        <v>11692228.729999989</v>
      </c>
      <c r="H202" s="95" t="e">
        <v>#REF!</v>
      </c>
      <c r="I202" s="99" t="e">
        <f>+#REF!-E202</f>
        <v>#REF!</v>
      </c>
    </row>
    <row r="203" spans="1:11">
      <c r="A203" s="156" t="s">
        <v>247</v>
      </c>
      <c r="B203" s="119">
        <v>0</v>
      </c>
      <c r="C203" s="128" t="s">
        <v>989</v>
      </c>
      <c r="D203" s="128">
        <v>16458998.84</v>
      </c>
      <c r="E203" s="95">
        <f>VLOOKUP(A203,'Balancete 2014'!A:D,4,0)</f>
        <v>196736373.74000001</v>
      </c>
      <c r="H203" s="95" t="e">
        <v>#REF!</v>
      </c>
      <c r="I203" s="99" t="e">
        <f>+#REF!-E203</f>
        <v>#REF!</v>
      </c>
    </row>
    <row r="204" spans="1:11">
      <c r="A204" s="156" t="s">
        <v>160</v>
      </c>
      <c r="B204" s="119">
        <v>-4</v>
      </c>
      <c r="C204" s="128" t="s">
        <v>161</v>
      </c>
      <c r="D204" s="128">
        <v>270556978.81999999</v>
      </c>
      <c r="E204" s="95">
        <f>VLOOKUP(A204,'Balancete 2014'!A:D,4,0)</f>
        <v>294025728.44999999</v>
      </c>
      <c r="H204" s="95" t="e">
        <v>#REF!</v>
      </c>
      <c r="I204" s="99" t="e">
        <f>+#REF!-E204</f>
        <v>#REF!</v>
      </c>
      <c r="J204" s="100"/>
      <c r="K204" s="100"/>
    </row>
    <row r="205" spans="1:11">
      <c r="A205" s="156" t="s">
        <v>324</v>
      </c>
      <c r="B205" s="119">
        <v>-8</v>
      </c>
      <c r="C205" s="128" t="s">
        <v>519</v>
      </c>
      <c r="D205" s="128">
        <v>6497213.3200000003</v>
      </c>
      <c r="E205" s="95">
        <f>VLOOKUP(A205,'Balancete 2014'!A:D,4,0)</f>
        <v>20106491.969999999</v>
      </c>
      <c r="F205" s="126">
        <f>+D205-E205</f>
        <v>-13609278.649999999</v>
      </c>
      <c r="G205" s="100">
        <f>+F205+F211+F218</f>
        <v>401235355.65000004</v>
      </c>
      <c r="H205" s="95" t="e">
        <v>#REF!</v>
      </c>
      <c r="I205" s="99" t="e">
        <f>+#REF!-E205</f>
        <v>#REF!</v>
      </c>
      <c r="J205" s="100"/>
      <c r="K205" s="100"/>
    </row>
    <row r="206" spans="1:11">
      <c r="A206" s="156" t="s">
        <v>162</v>
      </c>
      <c r="B206" s="119">
        <v>0</v>
      </c>
      <c r="C206" s="128" t="s">
        <v>844</v>
      </c>
      <c r="D206" s="128">
        <v>6497213.3200000003</v>
      </c>
      <c r="E206" s="95">
        <f>VLOOKUP(A206,'Balancete 2014'!A:D,4,0)</f>
        <v>20106491.969999999</v>
      </c>
      <c r="F206" s="95">
        <f t="shared" ref="F206:F233" si="3">+D206-E206</f>
        <v>-13609278.649999999</v>
      </c>
      <c r="H206" s="95" t="e">
        <v>#REF!</v>
      </c>
      <c r="I206" s="99" t="e">
        <f>+#REF!-E206</f>
        <v>#REF!</v>
      </c>
      <c r="J206" s="100"/>
      <c r="K206" s="100"/>
    </row>
    <row r="207" spans="1:11">
      <c r="A207" s="156" t="s">
        <v>301</v>
      </c>
      <c r="B207" s="119">
        <v>-8</v>
      </c>
      <c r="C207" s="128" t="s">
        <v>845</v>
      </c>
      <c r="D207" s="128">
        <v>5907551.6799999997</v>
      </c>
      <c r="E207" s="95">
        <f>VLOOKUP(A207,'Balancete 2014'!A:D,4,0)</f>
        <v>9204587.2200000007</v>
      </c>
      <c r="F207" s="95">
        <f t="shared" si="3"/>
        <v>-3297035.540000001</v>
      </c>
      <c r="H207" s="95" t="e">
        <v>#REF!</v>
      </c>
      <c r="I207" s="99" t="e">
        <f>+#REF!-E207</f>
        <v>#REF!</v>
      </c>
      <c r="J207" s="100"/>
      <c r="K207" s="100"/>
    </row>
    <row r="208" spans="1:11">
      <c r="A208" s="156" t="s">
        <v>163</v>
      </c>
      <c r="B208" s="119">
        <v>-6</v>
      </c>
      <c r="C208" s="128" t="s">
        <v>846</v>
      </c>
      <c r="D208" s="128">
        <v>60830.99</v>
      </c>
      <c r="E208" s="95">
        <f>VLOOKUP(A208,'Balancete 2014'!A:D,4,0)</f>
        <v>4405079.59</v>
      </c>
      <c r="F208" s="95">
        <f t="shared" si="3"/>
        <v>-4344248.5999999996</v>
      </c>
      <c r="H208" s="95" t="e">
        <v>#REF!</v>
      </c>
      <c r="I208" s="99" t="e">
        <f>+#REF!-E208</f>
        <v>#REF!</v>
      </c>
    </row>
    <row r="209" spans="1:9">
      <c r="A209" s="156" t="s">
        <v>164</v>
      </c>
      <c r="B209" s="119">
        <v>-4</v>
      </c>
      <c r="C209" s="128" t="s">
        <v>847</v>
      </c>
      <c r="D209" s="128">
        <v>450090.45</v>
      </c>
      <c r="E209" s="95">
        <f>VLOOKUP(A209,'Balancete 2014'!A:D,4,0)</f>
        <v>5337932.0199999996</v>
      </c>
      <c r="F209" s="95">
        <f t="shared" si="3"/>
        <v>-4887841.5699999994</v>
      </c>
      <c r="H209" s="95" t="e">
        <v>#REF!</v>
      </c>
      <c r="I209" s="99" t="e">
        <f>+#REF!-E209</f>
        <v>#REF!</v>
      </c>
    </row>
    <row r="210" spans="1:9">
      <c r="A210" s="156" t="s">
        <v>165</v>
      </c>
      <c r="B210" s="119">
        <v>-2</v>
      </c>
      <c r="C210" s="128" t="s">
        <v>848</v>
      </c>
      <c r="D210" s="128">
        <v>78740.2</v>
      </c>
      <c r="E210" s="95">
        <f>VLOOKUP(A210,'Balancete 2014'!A:D,4,0)</f>
        <v>1158893.1399999999</v>
      </c>
      <c r="F210" s="95">
        <f t="shared" si="3"/>
        <v>-1080152.94</v>
      </c>
      <c r="H210" s="95">
        <v>361640114.55000001</v>
      </c>
      <c r="I210" s="99">
        <f t="shared" ref="I210:I241" si="4">+D198-E210</f>
        <v>706467550.25999999</v>
      </c>
    </row>
    <row r="211" spans="1:9">
      <c r="A211" s="156" t="s">
        <v>525</v>
      </c>
      <c r="B211" s="119">
        <v>-1</v>
      </c>
      <c r="C211" s="128" t="s">
        <v>526</v>
      </c>
      <c r="D211" s="128">
        <v>14343.75</v>
      </c>
      <c r="E211" s="95">
        <f>VLOOKUP(A211,'Balancete 2014'!A:D,4,0)</f>
        <v>73439.63</v>
      </c>
      <c r="F211" s="126">
        <f t="shared" si="3"/>
        <v>-59095.880000000005</v>
      </c>
      <c r="H211" s="95">
        <v>361640114.55000001</v>
      </c>
      <c r="I211" s="99">
        <f t="shared" si="4"/>
        <v>707553003.76999998</v>
      </c>
    </row>
    <row r="212" spans="1:9">
      <c r="A212" s="156" t="s">
        <v>527</v>
      </c>
      <c r="B212" s="119">
        <v>-9</v>
      </c>
      <c r="C212" s="128" t="s">
        <v>849</v>
      </c>
      <c r="D212" s="128">
        <v>14343.75</v>
      </c>
      <c r="E212" s="95">
        <f>VLOOKUP(A212,'Balancete 2014'!A:D,4,0)</f>
        <v>73439.63</v>
      </c>
      <c r="F212" s="95">
        <f t="shared" si="3"/>
        <v>-59095.880000000005</v>
      </c>
      <c r="H212" s="95">
        <v>139192097.18000001</v>
      </c>
      <c r="I212" s="99">
        <f t="shared" si="4"/>
        <v>16385559.209999999</v>
      </c>
    </row>
    <row r="213" spans="1:9">
      <c r="A213" s="156" t="s">
        <v>529</v>
      </c>
      <c r="B213" s="119">
        <v>-5</v>
      </c>
      <c r="C213" s="128" t="s">
        <v>850</v>
      </c>
      <c r="D213" s="128">
        <v>14343.75</v>
      </c>
      <c r="E213" s="95">
        <f>VLOOKUP(A213,'Balancete 2014'!A:D,4,0)</f>
        <v>73439.63</v>
      </c>
      <c r="F213" s="95">
        <f t="shared" si="3"/>
        <v>-59095.880000000005</v>
      </c>
      <c r="H213" s="95">
        <v>139192097.18000001</v>
      </c>
      <c r="I213" s="99">
        <f t="shared" si="4"/>
        <v>16385559.209999999</v>
      </c>
    </row>
    <row r="214" spans="1:9">
      <c r="A214" s="156" t="s">
        <v>326</v>
      </c>
      <c r="B214" s="119">
        <v>-5</v>
      </c>
      <c r="C214" s="128" t="s">
        <v>531</v>
      </c>
      <c r="D214" s="128">
        <v>264045421.75</v>
      </c>
      <c r="E214" s="95">
        <f>VLOOKUP(A214,'Balancete 2014'!A:D,4,0)</f>
        <v>273845796.85000002</v>
      </c>
      <c r="F214" s="95">
        <f t="shared" si="3"/>
        <v>-9800375.1000000238</v>
      </c>
      <c r="H214" s="95">
        <v>139192097.18000001</v>
      </c>
      <c r="I214" s="99">
        <f t="shared" si="4"/>
        <v>-257386798.01000002</v>
      </c>
    </row>
    <row r="215" spans="1:9">
      <c r="A215" s="156" t="s">
        <v>166</v>
      </c>
      <c r="B215" s="119">
        <v>-1</v>
      </c>
      <c r="C215" s="128" t="s">
        <v>167</v>
      </c>
      <c r="D215" s="128">
        <v>264045421.75</v>
      </c>
      <c r="E215" s="95">
        <f>VLOOKUP(A215,'Balancete 2014'!A:D,4,0)</f>
        <v>273845796.85000002</v>
      </c>
      <c r="F215" s="95">
        <f t="shared" si="3"/>
        <v>-9800375.1000000238</v>
      </c>
      <c r="H215" s="95">
        <v>139192097.18000001</v>
      </c>
      <c r="I215" s="99">
        <f t="shared" si="4"/>
        <v>-257386798.01000002</v>
      </c>
    </row>
    <row r="216" spans="1:9">
      <c r="A216" s="156" t="s">
        <v>168</v>
      </c>
      <c r="B216" s="119">
        <v>0</v>
      </c>
      <c r="C216" s="128" t="s">
        <v>909</v>
      </c>
      <c r="D216" s="128">
        <v>203144782.16</v>
      </c>
      <c r="E216" s="95">
        <f>VLOOKUP(A216,'Balancete 2014'!A:D,4,0)</f>
        <v>210684754.06999999</v>
      </c>
      <c r="F216" s="95">
        <f t="shared" si="3"/>
        <v>-7539971.9099999964</v>
      </c>
      <c r="H216" s="95">
        <v>219850479.72999999</v>
      </c>
      <c r="I216" s="99">
        <f t="shared" si="4"/>
        <v>59872224.75</v>
      </c>
    </row>
    <row r="217" spans="1:9">
      <c r="A217" s="156" t="s">
        <v>169</v>
      </c>
      <c r="B217" s="119">
        <v>-8</v>
      </c>
      <c r="C217" s="128" t="s">
        <v>910</v>
      </c>
      <c r="D217" s="128">
        <v>60900639.590000004</v>
      </c>
      <c r="E217" s="95">
        <f>VLOOKUP(A217,'Balancete 2014'!A:D,4,0)</f>
        <v>63161042.780000001</v>
      </c>
      <c r="F217" s="95">
        <f t="shared" si="3"/>
        <v>-2260403.1899999976</v>
      </c>
      <c r="H217" s="95">
        <v>9649486.3900000006</v>
      </c>
      <c r="I217" s="99">
        <f t="shared" si="4"/>
        <v>-56663829.460000001</v>
      </c>
    </row>
    <row r="218" spans="1:9">
      <c r="A218" s="156" t="s">
        <v>325</v>
      </c>
      <c r="B218" s="119">
        <v>-5</v>
      </c>
      <c r="C218" s="128" t="s">
        <v>170</v>
      </c>
      <c r="D218" s="128">
        <v>420610465.74000001</v>
      </c>
      <c r="E218" s="95">
        <f>VLOOKUP(A218,'Balancete 2014'!A:D,4,0)</f>
        <v>5706735.5599999996</v>
      </c>
      <c r="F218" s="126">
        <f>+D218-E218</f>
        <v>414903730.18000001</v>
      </c>
      <c r="G218" s="100">
        <f>-F205-F211+F218</f>
        <v>428572104.70999998</v>
      </c>
      <c r="H218" s="95">
        <v>9649486.3900000006</v>
      </c>
      <c r="I218" s="99">
        <f t="shared" si="4"/>
        <v>790477.76000000071</v>
      </c>
    </row>
    <row r="219" spans="1:9">
      <c r="A219" s="156" t="s">
        <v>171</v>
      </c>
      <c r="B219" s="119">
        <v>-6</v>
      </c>
      <c r="C219" s="128" t="s">
        <v>172</v>
      </c>
      <c r="D219" s="128">
        <v>754994.43</v>
      </c>
      <c r="E219" s="95">
        <f>VLOOKUP(A219,'Balancete 2014'!A:D,4,0)</f>
        <v>428928.08</v>
      </c>
      <c r="F219" s="95">
        <f t="shared" si="3"/>
        <v>326066.35000000003</v>
      </c>
      <c r="H219" s="95">
        <v>2804391.71</v>
      </c>
      <c r="I219" s="99">
        <f t="shared" si="4"/>
        <v>5478623.5999999996</v>
      </c>
    </row>
    <row r="220" spans="1:9">
      <c r="A220" s="156" t="s">
        <v>173</v>
      </c>
      <c r="B220" s="119">
        <v>-8</v>
      </c>
      <c r="C220" s="128" t="s">
        <v>851</v>
      </c>
      <c r="D220" s="128">
        <v>754994.43</v>
      </c>
      <c r="E220" s="95">
        <f>VLOOKUP(A220,'Balancete 2014'!A:D,4,0)</f>
        <v>428928.08</v>
      </c>
      <c r="F220" s="95">
        <f t="shared" si="3"/>
        <v>326066.35000000003</v>
      </c>
      <c r="H220" s="95">
        <v>3319298.04</v>
      </c>
      <c r="I220" s="99">
        <f t="shared" si="4"/>
        <v>-368097.09</v>
      </c>
    </row>
    <row r="221" spans="1:9">
      <c r="A221" s="156" t="s">
        <v>535</v>
      </c>
      <c r="B221" s="119">
        <v>-6</v>
      </c>
      <c r="C221" s="128" t="s">
        <v>852</v>
      </c>
      <c r="D221" s="128">
        <v>150327.41</v>
      </c>
      <c r="E221" s="95" t="e">
        <f>VLOOKUP(A221,'Balancete 2014'!A:D,4,0)</f>
        <v>#N/A</v>
      </c>
      <c r="H221" s="95">
        <v>2896870.75</v>
      </c>
      <c r="I221" s="99" t="e">
        <f t="shared" si="4"/>
        <v>#N/A</v>
      </c>
    </row>
    <row r="222" spans="1:9">
      <c r="A222" s="156" t="s">
        <v>537</v>
      </c>
      <c r="B222" s="119">
        <v>-4</v>
      </c>
      <c r="C222" s="128" t="s">
        <v>853</v>
      </c>
      <c r="D222" s="128">
        <v>18039.29</v>
      </c>
      <c r="E222" s="95" t="e">
        <f>VLOOKUP(A222,'Balancete 2014'!A:D,4,0)</f>
        <v>#N/A</v>
      </c>
      <c r="H222" s="95">
        <v>628925.89</v>
      </c>
      <c r="I222" s="99" t="e">
        <f t="shared" si="4"/>
        <v>#N/A</v>
      </c>
    </row>
    <row r="223" spans="1:9">
      <c r="A223" s="156" t="s">
        <v>539</v>
      </c>
      <c r="B223" s="119">
        <v>-2</v>
      </c>
      <c r="C223" s="128" t="s">
        <v>854</v>
      </c>
      <c r="D223" s="128">
        <v>12026.19</v>
      </c>
      <c r="E223" s="95" t="e">
        <f>VLOOKUP(A223,'Balancete 2014'!A:D,4,0)</f>
        <v>#N/A</v>
      </c>
      <c r="H223" s="95" t="e">
        <v>#N/A</v>
      </c>
      <c r="I223" s="99" t="e">
        <f t="shared" si="4"/>
        <v>#N/A</v>
      </c>
    </row>
    <row r="224" spans="1:9">
      <c r="A224" s="156" t="s">
        <v>541</v>
      </c>
      <c r="B224" s="119">
        <v>0</v>
      </c>
      <c r="C224" s="128" t="s">
        <v>855</v>
      </c>
      <c r="D224" s="128">
        <v>30065.48</v>
      </c>
      <c r="E224" s="95" t="e">
        <f>VLOOKUP(A224,'Balancete 2014'!A:D,4,0)</f>
        <v>#N/A</v>
      </c>
      <c r="H224" s="95" t="e">
        <v>#N/A</v>
      </c>
      <c r="I224" s="99" t="e">
        <f t="shared" si="4"/>
        <v>#N/A</v>
      </c>
    </row>
    <row r="225" spans="1:9">
      <c r="A225" s="156" t="s">
        <v>174</v>
      </c>
      <c r="B225" s="119">
        <v>-9</v>
      </c>
      <c r="C225" s="128" t="s">
        <v>856</v>
      </c>
      <c r="D225" s="128">
        <v>381563.02</v>
      </c>
      <c r="E225" s="95">
        <f>VLOOKUP(A225,'Balancete 2014'!A:D,4,0)</f>
        <v>316779.36</v>
      </c>
      <c r="F225" s="95">
        <f t="shared" si="3"/>
        <v>64783.660000000033</v>
      </c>
      <c r="H225" s="95" t="e">
        <v>#N/A</v>
      </c>
      <c r="I225" s="99">
        <f t="shared" si="4"/>
        <v>-302435.61</v>
      </c>
    </row>
    <row r="226" spans="1:9">
      <c r="A226" s="156" t="s">
        <v>175</v>
      </c>
      <c r="B226" s="119">
        <v>-7</v>
      </c>
      <c r="C226" s="128" t="s">
        <v>857</v>
      </c>
      <c r="D226" s="128">
        <v>122733.11</v>
      </c>
      <c r="E226" s="95">
        <f>VLOOKUP(A226,'Balancete 2014'!A:D,4,0)</f>
        <v>87985.26</v>
      </c>
      <c r="F226" s="95">
        <f t="shared" si="3"/>
        <v>34747.850000000006</v>
      </c>
      <c r="H226" s="95">
        <v>210200993.34</v>
      </c>
      <c r="I226" s="99">
        <f t="shared" si="4"/>
        <v>263957436.49000001</v>
      </c>
    </row>
    <row r="227" spans="1:9">
      <c r="A227" s="156" t="s">
        <v>176</v>
      </c>
      <c r="B227" s="119">
        <v>-5</v>
      </c>
      <c r="C227" s="128" t="s">
        <v>858</v>
      </c>
      <c r="D227" s="128">
        <v>40239.93</v>
      </c>
      <c r="E227" s="95">
        <f>VLOOKUP(A227,'Balancete 2014'!A:D,4,0)</f>
        <v>24163.46</v>
      </c>
      <c r="F227" s="95">
        <f t="shared" si="3"/>
        <v>16076.470000000001</v>
      </c>
      <c r="H227" s="95">
        <v>210200993.34</v>
      </c>
      <c r="I227" s="99">
        <f t="shared" si="4"/>
        <v>264021258.28999999</v>
      </c>
    </row>
    <row r="228" spans="1:9">
      <c r="A228" s="156" t="s">
        <v>546</v>
      </c>
      <c r="B228" s="119">
        <v>-7</v>
      </c>
      <c r="C228" s="128" t="s">
        <v>547</v>
      </c>
      <c r="D228" s="128">
        <v>5401650.9000000004</v>
      </c>
      <c r="E228" s="95">
        <f>VLOOKUP(A228,'Balancete 2014'!A:D,4,0)</f>
        <v>2013542.19</v>
      </c>
      <c r="F228" s="126">
        <f t="shared" si="3"/>
        <v>3388108.7100000004</v>
      </c>
      <c r="H228" s="95">
        <v>161719278.13</v>
      </c>
      <c r="I228" s="99">
        <f t="shared" si="4"/>
        <v>201131239.97</v>
      </c>
    </row>
    <row r="229" spans="1:9">
      <c r="A229" s="156" t="s">
        <v>548</v>
      </c>
      <c r="B229" s="119">
        <v>-2</v>
      </c>
      <c r="C229" s="128" t="s">
        <v>547</v>
      </c>
      <c r="D229" s="128">
        <v>5401650.9000000004</v>
      </c>
      <c r="E229" s="95">
        <f>VLOOKUP(A229,'Balancete 2014'!A:D,4,0)</f>
        <v>2013542.19</v>
      </c>
      <c r="F229" s="95">
        <f t="shared" si="3"/>
        <v>3388108.7100000004</v>
      </c>
      <c r="H229" s="95">
        <v>48481715.210000001</v>
      </c>
      <c r="I229" s="99">
        <f t="shared" si="4"/>
        <v>58887097.400000006</v>
      </c>
    </row>
    <row r="230" spans="1:9">
      <c r="A230" s="156" t="s">
        <v>549</v>
      </c>
      <c r="B230" s="119">
        <v>-7</v>
      </c>
      <c r="C230" s="128" t="s">
        <v>911</v>
      </c>
      <c r="D230" s="128">
        <v>5401650.9000000004</v>
      </c>
      <c r="E230" s="95">
        <f>VLOOKUP(A230,'Balancete 2014'!A:D,4,0)</f>
        <v>2013542.19</v>
      </c>
      <c r="F230" s="95">
        <f t="shared" si="3"/>
        <v>3388108.7100000004</v>
      </c>
      <c r="H230" s="95">
        <v>2597537.64</v>
      </c>
      <c r="I230" s="99">
        <f t="shared" si="4"/>
        <v>418596923.55000001</v>
      </c>
    </row>
    <row r="231" spans="1:9">
      <c r="A231" s="156" t="s">
        <v>177</v>
      </c>
      <c r="B231" s="119">
        <v>-7</v>
      </c>
      <c r="C231" s="128" t="s">
        <v>178</v>
      </c>
      <c r="D231" s="128">
        <v>414453820.41000003</v>
      </c>
      <c r="E231" s="95">
        <f>VLOOKUP(A231,'Balancete 2014'!A:D,4,0)</f>
        <v>3264265.29</v>
      </c>
      <c r="F231" s="95">
        <f t="shared" si="3"/>
        <v>411189555.12</v>
      </c>
      <c r="H231" s="95">
        <v>369395.76</v>
      </c>
      <c r="I231" s="99">
        <f t="shared" si="4"/>
        <v>-2509270.86</v>
      </c>
    </row>
    <row r="232" spans="1:9">
      <c r="A232" s="156" t="s">
        <v>179</v>
      </c>
      <c r="B232" s="119">
        <v>0</v>
      </c>
      <c r="C232" s="128" t="s">
        <v>859</v>
      </c>
      <c r="D232" s="128">
        <v>414453820.41000003</v>
      </c>
      <c r="E232" s="95">
        <f>VLOOKUP(A232,'Balancete 2014'!A:D,4,0)</f>
        <v>3264265.29</v>
      </c>
      <c r="F232" s="95">
        <f t="shared" si="3"/>
        <v>411189555.12</v>
      </c>
      <c r="H232" s="95">
        <v>369395.76</v>
      </c>
      <c r="I232" s="99">
        <f t="shared" si="4"/>
        <v>-2509270.86</v>
      </c>
    </row>
    <row r="233" spans="1:9">
      <c r="A233" s="156" t="s">
        <v>180</v>
      </c>
      <c r="B233" s="119">
        <v>-9</v>
      </c>
      <c r="C233" s="128" t="s">
        <v>860</v>
      </c>
      <c r="D233" s="128">
        <v>158144.85</v>
      </c>
      <c r="E233" s="95">
        <f>VLOOKUP(A233,'Balancete 2014'!A:D,4,0)</f>
        <v>242178.11</v>
      </c>
      <c r="F233" s="95">
        <f t="shared" si="3"/>
        <v>-84033.25999999998</v>
      </c>
      <c r="H233" s="95" t="e">
        <v>#N/A</v>
      </c>
      <c r="I233" s="99">
        <f t="shared" si="4"/>
        <v>-91850.699999999983</v>
      </c>
    </row>
    <row r="234" spans="1:9">
      <c r="A234" s="156" t="s">
        <v>181</v>
      </c>
      <c r="B234" s="119">
        <v>-7</v>
      </c>
      <c r="C234" s="128" t="s">
        <v>861</v>
      </c>
      <c r="D234" s="128">
        <v>603309.75</v>
      </c>
      <c r="E234" s="95">
        <f>VLOOKUP(A234,'Balancete 2014'!A:D,4,0)</f>
        <v>490420.18</v>
      </c>
      <c r="H234" s="95" t="e">
        <v>#N/A</v>
      </c>
      <c r="I234" s="99">
        <f t="shared" si="4"/>
        <v>-472380.89</v>
      </c>
    </row>
    <row r="235" spans="1:9">
      <c r="A235" s="156" t="s">
        <v>182</v>
      </c>
      <c r="B235" s="119">
        <v>-5</v>
      </c>
      <c r="C235" s="128" t="s">
        <v>862</v>
      </c>
      <c r="D235" s="128">
        <v>257232.21</v>
      </c>
      <c r="E235" s="95">
        <f>VLOOKUP(A235,'Balancete 2014'!A:D,4,0)</f>
        <v>31248.01</v>
      </c>
      <c r="H235" s="95" t="e">
        <v>#N/A</v>
      </c>
      <c r="I235" s="99">
        <f t="shared" si="4"/>
        <v>-19221.82</v>
      </c>
    </row>
    <row r="236" spans="1:9">
      <c r="A236" s="156" t="s">
        <v>183</v>
      </c>
      <c r="B236" s="119">
        <v>-1</v>
      </c>
      <c r="C236" s="128" t="s">
        <v>863</v>
      </c>
      <c r="D236" s="128">
        <v>3368739.93</v>
      </c>
      <c r="E236" s="95">
        <f>VLOOKUP(A236,'Balancete 2014'!A:D,4,0)</f>
        <v>2500418.9900000002</v>
      </c>
      <c r="H236" s="95" t="e">
        <v>#N/A</v>
      </c>
      <c r="I236" s="99">
        <f t="shared" si="4"/>
        <v>-2470353.5100000002</v>
      </c>
    </row>
    <row r="237" spans="1:9">
      <c r="A237" s="156" t="s">
        <v>779</v>
      </c>
      <c r="B237" s="119">
        <v>0</v>
      </c>
      <c r="C237" s="128" t="s">
        <v>780</v>
      </c>
      <c r="D237" s="128">
        <v>374491746.10000002</v>
      </c>
      <c r="E237" s="95" t="e">
        <f>VLOOKUP(A237,'Balancete 2014'!A:D,4,0)</f>
        <v>#N/A</v>
      </c>
      <c r="F237" s="95">
        <f>+D237+D238</f>
        <v>410066393.67000002</v>
      </c>
      <c r="H237" s="95">
        <v>285988.15000000002</v>
      </c>
      <c r="I237" s="99" t="e">
        <f t="shared" si="4"/>
        <v>#N/A</v>
      </c>
    </row>
    <row r="238" spans="1:9">
      <c r="A238" s="156" t="s">
        <v>781</v>
      </c>
      <c r="B238" s="119">
        <v>-8</v>
      </c>
      <c r="C238" s="128" t="s">
        <v>782</v>
      </c>
      <c r="D238" s="128">
        <v>35574647.57</v>
      </c>
      <c r="E238" s="95" t="e">
        <f>VLOOKUP(A238,'Balancete 2014'!A:D,4,0)</f>
        <v>#N/A</v>
      </c>
      <c r="F238" s="133">
        <f>+F237/1000</f>
        <v>410066.39367000002</v>
      </c>
      <c r="H238" s="95">
        <v>59244.15</v>
      </c>
      <c r="I238" s="99" t="e">
        <f t="shared" si="4"/>
        <v>#N/A</v>
      </c>
    </row>
    <row r="239" spans="1:9">
      <c r="A239" s="156">
        <v>6</v>
      </c>
      <c r="B239" s="119">
        <v>-9</v>
      </c>
      <c r="C239" s="128" t="s">
        <v>184</v>
      </c>
      <c r="D239" s="128">
        <v>1201232664.8199999</v>
      </c>
      <c r="E239" s="95">
        <f>VLOOKUP(A239,'Balancete 2014'!A:D,4,0)</f>
        <v>4858695773.04</v>
      </c>
      <c r="F239" s="95">
        <v>-420610</v>
      </c>
      <c r="H239" s="95">
        <v>24163.46</v>
      </c>
      <c r="I239" s="99">
        <f t="shared" si="4"/>
        <v>-4858655533.1099997</v>
      </c>
    </row>
    <row r="240" spans="1:9">
      <c r="A240" s="156" t="s">
        <v>185</v>
      </c>
      <c r="B240" s="119">
        <v>-6</v>
      </c>
      <c r="C240" s="128" t="s">
        <v>184</v>
      </c>
      <c r="D240" s="128">
        <v>1201232664.8199999</v>
      </c>
      <c r="E240" s="95">
        <f>VLOOKUP(A240,'Balancete 2014'!A:D,4,0)</f>
        <v>4858695773.04</v>
      </c>
      <c r="F240" s="95">
        <f>+F239+F238</f>
        <v>-10543.606329999981</v>
      </c>
      <c r="H240" s="95" t="e">
        <v>#N/A</v>
      </c>
      <c r="I240" s="99">
        <f t="shared" si="4"/>
        <v>-4853294122.1400003</v>
      </c>
    </row>
    <row r="241" spans="1:11">
      <c r="A241" s="156" t="s">
        <v>186</v>
      </c>
      <c r="B241" s="119">
        <v>-4</v>
      </c>
      <c r="C241" s="128" t="s">
        <v>187</v>
      </c>
      <c r="D241" s="128">
        <v>2415610459.4299998</v>
      </c>
      <c r="E241" s="95">
        <f>VLOOKUP(A241,'Balancete 2014'!A:D,4,0)</f>
        <v>4000000000</v>
      </c>
      <c r="H241" s="95" t="e">
        <v>#N/A</v>
      </c>
      <c r="I241" s="99">
        <f t="shared" si="4"/>
        <v>-3994598349.0999999</v>
      </c>
    </row>
    <row r="242" spans="1:11">
      <c r="A242" s="156" t="s">
        <v>327</v>
      </c>
      <c r="B242" s="119">
        <v>-8</v>
      </c>
      <c r="C242" s="128" t="s">
        <v>188</v>
      </c>
      <c r="D242" s="128">
        <v>4000000000</v>
      </c>
      <c r="E242" s="95">
        <f>VLOOKUP(A242,'Balancete 2014'!A:D,4,0)</f>
        <v>4000000000</v>
      </c>
      <c r="H242" s="95" t="e">
        <v>#N/A</v>
      </c>
      <c r="I242" s="99">
        <f t="shared" ref="I242:I270" si="5">+D230-E242</f>
        <v>-3994598349.0999999</v>
      </c>
    </row>
    <row r="243" spans="1:11">
      <c r="A243" s="156" t="s">
        <v>189</v>
      </c>
      <c r="B243" s="119">
        <v>-3</v>
      </c>
      <c r="C243" s="128" t="s">
        <v>190</v>
      </c>
      <c r="D243" s="128">
        <v>4000000000</v>
      </c>
      <c r="E243" s="95">
        <f>VLOOKUP(A243,'Balancete 2014'!A:D,4,0)</f>
        <v>4000000000</v>
      </c>
      <c r="H243" s="95">
        <v>2228141.88</v>
      </c>
      <c r="I243" s="99">
        <f t="shared" si="5"/>
        <v>-3585546179.5900002</v>
      </c>
    </row>
    <row r="244" spans="1:11">
      <c r="A244" s="156" t="s">
        <v>191</v>
      </c>
      <c r="B244" s="119">
        <v>-3</v>
      </c>
      <c r="C244" s="128" t="s">
        <v>188</v>
      </c>
      <c r="D244" s="128">
        <v>4000000000</v>
      </c>
      <c r="E244" s="95">
        <f>VLOOKUP(A244,'Balancete 2014'!A:D,4,0)</f>
        <v>4000000000</v>
      </c>
      <c r="H244" s="95">
        <v>2228141.88</v>
      </c>
      <c r="I244" s="99">
        <f t="shared" si="5"/>
        <v>-3585546179.5900002</v>
      </c>
    </row>
    <row r="245" spans="1:11">
      <c r="A245" s="156" t="s">
        <v>328</v>
      </c>
      <c r="B245" s="119">
        <v>-2</v>
      </c>
      <c r="C245" s="128" t="s">
        <v>192</v>
      </c>
      <c r="D245" s="128">
        <v>-2798767335.1799998</v>
      </c>
      <c r="E245" s="95" t="e">
        <f>VLOOKUP(A245,'Balancete 2014'!A:D,4,0)</f>
        <v>#N/A</v>
      </c>
      <c r="H245" s="95">
        <v>212083.94</v>
      </c>
      <c r="I245" s="99" t="e">
        <f t="shared" si="5"/>
        <v>#N/A</v>
      </c>
    </row>
    <row r="246" spans="1:11">
      <c r="A246" s="156" t="s">
        <v>193</v>
      </c>
      <c r="B246" s="119">
        <v>-8</v>
      </c>
      <c r="C246" s="128" t="s">
        <v>194</v>
      </c>
      <c r="D246" s="128">
        <v>-2798767335.1799998</v>
      </c>
      <c r="E246" s="95" t="e">
        <f>VLOOKUP(A246,'Balancete 2014'!A:D,4,0)</f>
        <v>#N/A</v>
      </c>
      <c r="H246" s="95">
        <v>402106.93</v>
      </c>
      <c r="I246" s="99" t="e">
        <f t="shared" si="5"/>
        <v>#N/A</v>
      </c>
    </row>
    <row r="247" spans="1:11">
      <c r="A247" s="156" t="s">
        <v>195</v>
      </c>
      <c r="B247" s="119">
        <v>-2</v>
      </c>
      <c r="C247" s="128" t="s">
        <v>912</v>
      </c>
      <c r="D247" s="128">
        <v>-2798767335.1799998</v>
      </c>
      <c r="E247" s="95" t="e">
        <f>VLOOKUP(A247,'Balancete 2014'!A:D,4,0)</f>
        <v>#N/A</v>
      </c>
      <c r="H247" s="95">
        <v>22394.38</v>
      </c>
      <c r="I247" s="99" t="e">
        <f t="shared" si="5"/>
        <v>#N/A</v>
      </c>
    </row>
    <row r="248" spans="1:11">
      <c r="A248" s="156" t="s">
        <v>330</v>
      </c>
      <c r="B248" s="119">
        <v>-7</v>
      </c>
      <c r="C248" s="128" t="s">
        <v>196</v>
      </c>
      <c r="D248" s="128">
        <v>196977842.34</v>
      </c>
      <c r="E248" s="95">
        <f>VLOOKUP(A248,'Balancete 2014'!A:D,4,0)</f>
        <v>1358513588.05</v>
      </c>
      <c r="H248" s="95">
        <v>1591556.63</v>
      </c>
      <c r="I248" s="99">
        <f t="shared" si="5"/>
        <v>-1355144848.1199999</v>
      </c>
      <c r="J248" s="100"/>
    </row>
    <row r="249" spans="1:11">
      <c r="A249" s="156" t="s">
        <v>197</v>
      </c>
      <c r="B249" s="119">
        <v>0</v>
      </c>
      <c r="C249" s="128" t="s">
        <v>198</v>
      </c>
      <c r="D249" s="128">
        <v>147600845.81999999</v>
      </c>
      <c r="E249" s="95">
        <f>VLOOKUP(A249,'Balancete 2014'!A:D,4,0)</f>
        <v>144135793.43000001</v>
      </c>
      <c r="H249" s="95" t="e">
        <v>#N/A</v>
      </c>
      <c r="I249" s="99">
        <f t="shared" si="5"/>
        <v>230355952.67000002</v>
      </c>
    </row>
    <row r="250" spans="1:11">
      <c r="A250" s="156" t="s">
        <v>199</v>
      </c>
      <c r="B250" s="119">
        <v>-1</v>
      </c>
      <c r="C250" s="128" t="s">
        <v>198</v>
      </c>
      <c r="D250" s="128">
        <v>147600845.81999999</v>
      </c>
      <c r="E250" s="95">
        <f>VLOOKUP(A250,'Balancete 2014'!A:D,4,0)</f>
        <v>144135793.43000001</v>
      </c>
      <c r="F250" s="95">
        <f>+D239-D267</f>
        <v>1279090628.1900001</v>
      </c>
      <c r="H250" s="95" t="e">
        <v>#N/A</v>
      </c>
      <c r="I250" s="99">
        <f t="shared" si="5"/>
        <v>-108561145.86000001</v>
      </c>
    </row>
    <row r="251" spans="1:11">
      <c r="A251" s="156" t="s">
        <v>200</v>
      </c>
      <c r="B251" s="119">
        <v>0</v>
      </c>
      <c r="C251" s="128" t="s">
        <v>198</v>
      </c>
      <c r="D251" s="128">
        <v>147600845.81999999</v>
      </c>
      <c r="E251" s="95">
        <f>VLOOKUP(A251,'Balancete 2014'!A:D,4,0)</f>
        <v>144135793.43000001</v>
      </c>
      <c r="H251" s="95">
        <v>3736089610.29</v>
      </c>
      <c r="I251" s="99">
        <f t="shared" si="5"/>
        <v>1057096871.3899999</v>
      </c>
    </row>
    <row r="252" spans="1:11">
      <c r="A252" s="156" t="s">
        <v>201</v>
      </c>
      <c r="B252" s="119">
        <v>-4</v>
      </c>
      <c r="C252" s="128" t="s">
        <v>202</v>
      </c>
      <c r="D252" s="128">
        <f>49376996.52+1214377794.62</f>
        <v>1263754791.1399999</v>
      </c>
      <c r="E252" s="95">
        <f>VLOOKUP(A252,'Balancete 2014'!A:D,4,0)</f>
        <v>1214377794.6199999</v>
      </c>
      <c r="F252" s="95" t="s">
        <v>939</v>
      </c>
      <c r="H252" s="95">
        <v>3736089610.29</v>
      </c>
      <c r="I252" s="99">
        <f t="shared" si="5"/>
        <v>-13145129.799999952</v>
      </c>
    </row>
    <row r="253" spans="1:11">
      <c r="A253" s="156" t="s">
        <v>203</v>
      </c>
      <c r="B253" s="119">
        <v>0</v>
      </c>
      <c r="C253" s="128" t="s">
        <v>202</v>
      </c>
      <c r="D253" s="128">
        <f>49376996.52+1214377794.62</f>
        <v>1263754791.1399999</v>
      </c>
      <c r="E253" s="95">
        <f>VLOOKUP(A253,'Balancete 2014'!A:D,4,0)</f>
        <v>1214377794.6199999</v>
      </c>
      <c r="F253" s="95" t="s">
        <v>939</v>
      </c>
      <c r="H253" s="95">
        <v>3219334938.7199998</v>
      </c>
      <c r="I253" s="99">
        <f t="shared" si="5"/>
        <v>1201232664.8099999</v>
      </c>
      <c r="K253" s="100"/>
    </row>
    <row r="254" spans="1:11">
      <c r="A254" s="156" t="s">
        <v>204</v>
      </c>
      <c r="B254" s="119">
        <v>-4</v>
      </c>
      <c r="C254" s="128" t="s">
        <v>913</v>
      </c>
      <c r="D254" s="128">
        <f>49376996.52+1214377794.62</f>
        <v>1263754791.1399999</v>
      </c>
      <c r="E254" s="95">
        <f>VLOOKUP(A254,'Balancete 2014'!A:D,4,0)</f>
        <v>1214377794.6199999</v>
      </c>
      <c r="F254" s="95" t="s">
        <v>939</v>
      </c>
      <c r="H254" s="95">
        <v>4000000000</v>
      </c>
      <c r="I254" s="99">
        <f t="shared" si="5"/>
        <v>2785622205.3800001</v>
      </c>
      <c r="K254" s="94"/>
    </row>
    <row r="255" spans="1:11">
      <c r="A255" s="156" t="s">
        <v>329</v>
      </c>
      <c r="B255" s="119">
        <v>-5</v>
      </c>
      <c r="C255" s="128" t="s">
        <v>205</v>
      </c>
      <c r="D255" s="128">
        <v>318888902.85000002</v>
      </c>
      <c r="E255" s="95">
        <f>VLOOKUP(A255,'Balancete 2014'!A:D,4,0)</f>
        <v>328378604.33999997</v>
      </c>
      <c r="F255" s="95">
        <f>+D255-E255</f>
        <v>-9489701.4899999499</v>
      </c>
      <c r="H255" s="95">
        <v>4000000000</v>
      </c>
      <c r="I255" s="99">
        <f t="shared" si="5"/>
        <v>3671621395.6599998</v>
      </c>
    </row>
    <row r="256" spans="1:11">
      <c r="A256" s="156" t="s">
        <v>206</v>
      </c>
      <c r="B256" s="119">
        <v>-9</v>
      </c>
      <c r="C256" s="128" t="s">
        <v>207</v>
      </c>
      <c r="D256" s="128">
        <v>304538972.32999998</v>
      </c>
      <c r="E256" s="95">
        <f>VLOOKUP(A256,'Balancete 2014'!A:D,4,0)</f>
        <v>317398267.26999998</v>
      </c>
      <c r="F256" s="95">
        <f t="shared" ref="F256:F261" si="6">+D256-E256</f>
        <v>-12859294.939999998</v>
      </c>
      <c r="H256" s="95">
        <v>4000000000</v>
      </c>
      <c r="I256" s="99">
        <f t="shared" si="5"/>
        <v>3682601732.73</v>
      </c>
    </row>
    <row r="257" spans="1:10">
      <c r="A257" s="156" t="s">
        <v>208</v>
      </c>
      <c r="B257" s="119">
        <v>-4</v>
      </c>
      <c r="C257" s="128" t="s">
        <v>209</v>
      </c>
      <c r="D257" s="128">
        <v>393734360.75</v>
      </c>
      <c r="E257" s="126">
        <f>VLOOKUP(A257,'Balancete 2014'!A:D,4,0)</f>
        <v>408370776.81</v>
      </c>
      <c r="F257" s="95">
        <f t="shared" si="6"/>
        <v>-14636416.060000002</v>
      </c>
      <c r="H257" s="95">
        <v>-780665061.27999997</v>
      </c>
      <c r="I257" s="99">
        <f t="shared" si="5"/>
        <v>-3207138111.9899998</v>
      </c>
    </row>
    <row r="258" spans="1:10">
      <c r="A258" s="156" t="s">
        <v>210</v>
      </c>
      <c r="B258" s="119">
        <v>-9</v>
      </c>
      <c r="C258" s="128" t="s">
        <v>914</v>
      </c>
      <c r="D258" s="128">
        <v>657374339.66999996</v>
      </c>
      <c r="E258" s="126">
        <f>VLOOKUP(A258,'Balancete 2014'!A:D,4,0)</f>
        <v>681811130.83000004</v>
      </c>
      <c r="F258" s="95">
        <f t="shared" si="6"/>
        <v>-24436791.160000086</v>
      </c>
      <c r="H258" s="95">
        <v>-780665061.27999997</v>
      </c>
      <c r="I258" s="99">
        <f t="shared" si="5"/>
        <v>-3480578466.0099998</v>
      </c>
    </row>
    <row r="259" spans="1:10">
      <c r="A259" s="156" t="s">
        <v>211</v>
      </c>
      <c r="B259" s="119">
        <v>-7</v>
      </c>
      <c r="C259" s="128" t="s">
        <v>915</v>
      </c>
      <c r="D259" s="128">
        <v>-263639978.91999999</v>
      </c>
      <c r="E259" s="126">
        <f>VLOOKUP(A259,'Balancete 2014'!A:D,4,0)</f>
        <v>-273440354.01999998</v>
      </c>
      <c r="F259" s="95">
        <f>+D259-E259</f>
        <v>9800375.099999994</v>
      </c>
      <c r="H259" s="95">
        <v>-780665061.27999997</v>
      </c>
      <c r="I259" s="99">
        <f t="shared" si="5"/>
        <v>-2525326981.1599998</v>
      </c>
    </row>
    <row r="260" spans="1:10">
      <c r="A260" s="156" t="s">
        <v>213</v>
      </c>
      <c r="B260" s="119">
        <v>0</v>
      </c>
      <c r="C260" s="128" t="s">
        <v>864</v>
      </c>
      <c r="D260" s="128">
        <v>-89195388.420000002</v>
      </c>
      <c r="E260" s="95">
        <f>VLOOKUP(A260,'Balancete 2014'!A:D,4,0)</f>
        <v>-90972509.540000007</v>
      </c>
      <c r="F260" s="95">
        <f t="shared" si="6"/>
        <v>1777121.1200000048</v>
      </c>
      <c r="H260" s="95">
        <v>907551344.15999997</v>
      </c>
      <c r="I260" s="99">
        <f t="shared" si="5"/>
        <v>287950351.88</v>
      </c>
    </row>
    <row r="261" spans="1:10">
      <c r="A261" s="156" t="s">
        <v>214</v>
      </c>
      <c r="B261" s="119">
        <v>-1</v>
      </c>
      <c r="C261" s="128" t="s">
        <v>865</v>
      </c>
      <c r="D261" s="128">
        <v>-89195388.420000002</v>
      </c>
      <c r="E261" s="95">
        <f>VLOOKUP(A261,'Balancete 2014'!A:D,4,0)</f>
        <v>-90972509.540000007</v>
      </c>
      <c r="F261" s="95">
        <f t="shared" si="6"/>
        <v>1777121.1200000048</v>
      </c>
      <c r="H261" s="95">
        <v>102717609.48</v>
      </c>
      <c r="I261" s="99">
        <f t="shared" si="5"/>
        <v>238573355.36000001</v>
      </c>
    </row>
    <row r="262" spans="1:10">
      <c r="A262" s="156" t="s">
        <v>297</v>
      </c>
      <c r="B262" s="119">
        <v>-8</v>
      </c>
      <c r="C262" s="119" t="s">
        <v>298</v>
      </c>
      <c r="D262" s="128">
        <v>14349930.52</v>
      </c>
      <c r="E262" s="95">
        <f>VLOOKUP(A262,'Balancete 2014'!A:D,4,0)</f>
        <v>10980337.07</v>
      </c>
      <c r="H262" s="95">
        <v>102717609.48</v>
      </c>
      <c r="I262" s="99">
        <f t="shared" si="5"/>
        <v>136620508.75</v>
      </c>
    </row>
    <row r="263" spans="1:10">
      <c r="A263" s="156" t="s">
        <v>299</v>
      </c>
      <c r="B263" s="119">
        <v>-9</v>
      </c>
      <c r="C263" s="128" t="s">
        <v>298</v>
      </c>
      <c r="D263" s="128">
        <v>14182670.960000001</v>
      </c>
      <c r="E263" s="95">
        <f>VLOOKUP(A263,'Balancete 2014'!A:D,4,0)</f>
        <v>10980337.07</v>
      </c>
      <c r="H263" s="95">
        <v>102717609.48</v>
      </c>
      <c r="I263" s="99">
        <f t="shared" si="5"/>
        <v>136620508.75</v>
      </c>
    </row>
    <row r="264" spans="1:10">
      <c r="A264" s="156" t="s">
        <v>300</v>
      </c>
      <c r="B264" s="119">
        <v>-7</v>
      </c>
      <c r="C264" s="128" t="s">
        <v>916</v>
      </c>
      <c r="D264" s="128">
        <v>14182670.960000001</v>
      </c>
      <c r="E264" s="95">
        <f>VLOOKUP(A264,'Balancete 2014'!A:D,4,0)</f>
        <v>10980337.07</v>
      </c>
      <c r="H264" s="95">
        <v>804833734.67999995</v>
      </c>
      <c r="I264" s="99">
        <f t="shared" si="5"/>
        <v>1252774454.0699999</v>
      </c>
    </row>
    <row r="265" spans="1:10">
      <c r="A265" s="156" t="s">
        <v>866</v>
      </c>
      <c r="B265" s="119">
        <v>-4</v>
      </c>
      <c r="C265" s="128" t="s">
        <v>867</v>
      </c>
      <c r="D265" s="128">
        <v>167259.56</v>
      </c>
      <c r="E265" s="95" t="e">
        <f>VLOOKUP(A265,'Balancete 2014'!A:D,4,0)</f>
        <v>#N/A</v>
      </c>
      <c r="H265" s="95">
        <v>804833734.67999995</v>
      </c>
      <c r="I265" s="99" t="e">
        <f t="shared" si="5"/>
        <v>#N/A</v>
      </c>
    </row>
    <row r="266" spans="1:10">
      <c r="A266" s="156" t="s">
        <v>868</v>
      </c>
      <c r="B266" s="119">
        <v>0</v>
      </c>
      <c r="C266" s="128" t="s">
        <v>869</v>
      </c>
      <c r="D266" s="128">
        <v>167259.56</v>
      </c>
      <c r="E266" s="95" t="e">
        <f>VLOOKUP(A266,'Balancete 2014'!A:D,4,0)</f>
        <v>#N/A</v>
      </c>
      <c r="H266" s="95">
        <v>804833734.67999995</v>
      </c>
      <c r="I266" s="99" t="e">
        <f t="shared" si="5"/>
        <v>#N/A</v>
      </c>
    </row>
    <row r="267" spans="1:10">
      <c r="A267" s="156" t="s">
        <v>680</v>
      </c>
      <c r="B267" s="119">
        <v>-1</v>
      </c>
      <c r="C267" s="128" t="s">
        <v>681</v>
      </c>
      <c r="D267" s="128">
        <v>-77857963.370000005</v>
      </c>
      <c r="E267" s="95">
        <f>VLOOKUP(A267,'Balancete 2014'!A:D,4,0)</f>
        <v>-828363678.90999997</v>
      </c>
      <c r="H267" s="95">
        <v>201757722.24000001</v>
      </c>
      <c r="I267" s="99">
        <f t="shared" si="5"/>
        <v>1147252581.76</v>
      </c>
      <c r="J267" s="93">
        <v>8556915.6199999992</v>
      </c>
    </row>
    <row r="268" spans="1:10">
      <c r="A268" s="156" t="s">
        <v>682</v>
      </c>
      <c r="B268" s="119">
        <v>-5</v>
      </c>
      <c r="C268" s="128" t="s">
        <v>681</v>
      </c>
      <c r="D268" s="128">
        <v>-77857963.370000005</v>
      </c>
      <c r="E268" s="95">
        <f>VLOOKUP(A268,'Balancete 2014'!A:D,4,0)</f>
        <v>-828363678.90999997</v>
      </c>
      <c r="H268" s="95">
        <v>202437917.15000001</v>
      </c>
      <c r="I268" s="99">
        <f t="shared" si="5"/>
        <v>1132902651.24</v>
      </c>
    </row>
    <row r="269" spans="1:10">
      <c r="A269" s="156" t="s">
        <v>683</v>
      </c>
      <c r="B269" s="119">
        <v>0</v>
      </c>
      <c r="C269" s="128" t="s">
        <v>681</v>
      </c>
      <c r="D269" s="128">
        <v>-77857963.370000005</v>
      </c>
      <c r="E269" s="95">
        <f>VLOOKUP(A269,'Balancete 2014'!A:D,4,0)</f>
        <v>-828363678.90999997</v>
      </c>
      <c r="H269" s="95">
        <v>313925657.55000001</v>
      </c>
      <c r="I269" s="99">
        <f t="shared" si="5"/>
        <v>1222098039.6599998</v>
      </c>
    </row>
    <row r="270" spans="1:10">
      <c r="A270" s="156" t="s">
        <v>684</v>
      </c>
      <c r="B270" s="119">
        <v>-5</v>
      </c>
      <c r="C270" s="128" t="s">
        <v>685</v>
      </c>
      <c r="D270" s="128">
        <v>-77857963.370000005</v>
      </c>
      <c r="E270" s="95">
        <f>VLOOKUP(A270,'Balancete 2014'!A:D,4,0)</f>
        <v>-828363678.90999997</v>
      </c>
      <c r="H270" s="95">
        <v>524126650.88999999</v>
      </c>
      <c r="I270" s="99">
        <f t="shared" si="5"/>
        <v>1485738018.5799999</v>
      </c>
    </row>
    <row r="271" spans="1:10">
      <c r="A271" s="156">
        <v>7</v>
      </c>
      <c r="B271" s="119">
        <v>-5</v>
      </c>
      <c r="C271" s="128" t="s">
        <v>215</v>
      </c>
      <c r="D271" s="128">
        <v>148844775.94999999</v>
      </c>
      <c r="E271" s="95">
        <f>VLOOKUP(A271,'Balancete 2014'!A:D,4,0)</f>
        <v>1074796645.23</v>
      </c>
      <c r="H271" s="95">
        <v>-210200993.34</v>
      </c>
      <c r="I271" s="99"/>
    </row>
    <row r="272" spans="1:10">
      <c r="A272" s="156" t="s">
        <v>216</v>
      </c>
      <c r="B272" s="119">
        <v>-2</v>
      </c>
      <c r="C272" s="128" t="s">
        <v>217</v>
      </c>
      <c r="D272" s="128">
        <v>148844775.94999999</v>
      </c>
      <c r="E272" s="95">
        <f>VLOOKUP(A272,'Balancete 2014'!A:D,4,0)</f>
        <v>1074796645.23</v>
      </c>
      <c r="H272" s="95">
        <v>-111487740.40000001</v>
      </c>
      <c r="I272" s="99"/>
    </row>
    <row r="273" spans="1:14">
      <c r="A273" s="156" t="s">
        <v>339</v>
      </c>
      <c r="B273" s="119">
        <v>-5</v>
      </c>
      <c r="C273" s="128" t="s">
        <v>218</v>
      </c>
      <c r="D273" s="128">
        <v>6815871.7300000004</v>
      </c>
      <c r="E273" s="95">
        <f>VLOOKUP(A273,'Balancete 2014'!A:D,4,0)</f>
        <v>9226931.5999999996</v>
      </c>
      <c r="H273" s="95">
        <v>-111487740.40000001</v>
      </c>
      <c r="I273" s="99"/>
    </row>
    <row r="274" spans="1:14">
      <c r="A274" s="156" t="s">
        <v>219</v>
      </c>
      <c r="B274" s="119">
        <v>-9</v>
      </c>
      <c r="C274" s="128" t="s">
        <v>220</v>
      </c>
      <c r="D274" s="128">
        <v>6815871.7300000004</v>
      </c>
      <c r="E274" s="95">
        <f>VLOOKUP(A274,'Balancete 2014'!A:D,4,0)</f>
        <v>9226931.5999999996</v>
      </c>
      <c r="H274" s="95">
        <v>-680194.91</v>
      </c>
      <c r="I274" s="99"/>
    </row>
    <row r="275" spans="1:14">
      <c r="A275" s="156" t="s">
        <v>221</v>
      </c>
      <c r="B275" s="119">
        <v>0</v>
      </c>
      <c r="C275" s="128" t="s">
        <v>917</v>
      </c>
      <c r="D275" s="128">
        <v>6815871.7300000004</v>
      </c>
      <c r="E275" s="95">
        <f>VLOOKUP(A275,'Balancete 2014'!A:D,4,0)</f>
        <v>9226931.5999999996</v>
      </c>
      <c r="H275" s="95">
        <v>-680194.91</v>
      </c>
      <c r="I275" s="99"/>
    </row>
    <row r="276" spans="1:14">
      <c r="A276" s="156" t="s">
        <v>223</v>
      </c>
      <c r="B276" s="119">
        <v>-9</v>
      </c>
      <c r="C276" s="128" t="s">
        <v>918</v>
      </c>
      <c r="D276" s="128">
        <v>6815871.7300000004</v>
      </c>
      <c r="E276" s="95">
        <f>VLOOKUP(A276,'Balancete 2014'!A:D,4,0)</f>
        <v>9226931.5999999996</v>
      </c>
      <c r="H276" s="95">
        <v>-680194.91</v>
      </c>
      <c r="I276" s="99"/>
      <c r="M276" s="93" t="s">
        <v>221</v>
      </c>
      <c r="N276" s="95">
        <v>6815871.7300000004</v>
      </c>
    </row>
    <row r="277" spans="1:14">
      <c r="A277" s="156" t="s">
        <v>340</v>
      </c>
      <c r="B277" s="119">
        <v>-3</v>
      </c>
      <c r="C277" s="128" t="s">
        <v>224</v>
      </c>
      <c r="D277" s="128">
        <v>48508310.380000003</v>
      </c>
      <c r="E277" s="95">
        <f>VLOOKUP(A277,'Balancete 2014'!A:D,4,0)</f>
        <v>82742176.739999995</v>
      </c>
      <c r="H277" s="95" t="e">
        <v>#N/A</v>
      </c>
      <c r="I277" s="99"/>
      <c r="M277" s="93" t="s">
        <v>228</v>
      </c>
      <c r="N277" s="95">
        <v>41161085.460000001</v>
      </c>
    </row>
    <row r="278" spans="1:14">
      <c r="A278" s="156" t="s">
        <v>225</v>
      </c>
      <c r="B278" s="119">
        <v>-7</v>
      </c>
      <c r="C278" s="128" t="s">
        <v>226</v>
      </c>
      <c r="D278" s="128">
        <v>41161085.460000001</v>
      </c>
      <c r="E278" s="95">
        <f>VLOOKUP(A278,'Balancete 2014'!A:D,4,0)</f>
        <v>34524345.469999999</v>
      </c>
      <c r="H278" s="95" t="e">
        <v>#N/A</v>
      </c>
      <c r="I278" s="99"/>
      <c r="M278" s="93" t="s">
        <v>581</v>
      </c>
      <c r="N278" s="95">
        <v>1342667.12</v>
      </c>
    </row>
    <row r="279" spans="1:14">
      <c r="A279" s="156" t="s">
        <v>227</v>
      </c>
      <c r="B279" s="119">
        <v>-5</v>
      </c>
      <c r="C279" s="128" t="s">
        <v>870</v>
      </c>
      <c r="D279" s="128">
        <v>41161085.460000001</v>
      </c>
      <c r="E279" s="95">
        <f>VLOOKUP(A279,'Balancete 2014'!A:D,4,0)</f>
        <v>34524345.469999999</v>
      </c>
      <c r="H279" s="95">
        <v>-592721654.38999999</v>
      </c>
      <c r="I279" s="99"/>
    </row>
    <row r="280" spans="1:14">
      <c r="A280" s="156" t="s">
        <v>228</v>
      </c>
      <c r="B280" s="119">
        <v>-3</v>
      </c>
      <c r="C280" s="128" t="s">
        <v>871</v>
      </c>
      <c r="D280" s="128">
        <v>41161085.460000001</v>
      </c>
      <c r="E280" s="95">
        <f>VLOOKUP(A280,'Balancete 2014'!A:D,4,0)</f>
        <v>34524345.469999999</v>
      </c>
      <c r="H280" s="95">
        <v>-592721654.38999999</v>
      </c>
      <c r="I280" s="99"/>
    </row>
    <row r="281" spans="1:14">
      <c r="A281" s="156" t="s">
        <v>567</v>
      </c>
      <c r="B281" s="119">
        <v>0</v>
      </c>
      <c r="C281" s="128" t="s">
        <v>568</v>
      </c>
      <c r="D281" s="128">
        <v>6004557.7999999998</v>
      </c>
      <c r="E281" s="95">
        <f>VLOOKUP(A281,'Balancete 2014'!A:D,4,0)</f>
        <v>24203959.329999998</v>
      </c>
      <c r="H281" s="95">
        <v>-592721654.38999999</v>
      </c>
      <c r="I281" s="99"/>
    </row>
    <row r="282" spans="1:14">
      <c r="A282" s="156" t="s">
        <v>569</v>
      </c>
      <c r="B282" s="119">
        <v>-9</v>
      </c>
      <c r="C282" s="128" t="s">
        <v>919</v>
      </c>
      <c r="D282" s="128">
        <v>6004557.7999999998</v>
      </c>
      <c r="E282" s="95">
        <f>VLOOKUP(A282,'Balancete 2014'!A:D,4,0)</f>
        <v>24203959.329999998</v>
      </c>
      <c r="H282" s="95">
        <v>-592721654.38999999</v>
      </c>
      <c r="I282" s="99"/>
    </row>
    <row r="283" spans="1:14">
      <c r="A283" s="156" t="s">
        <v>571</v>
      </c>
      <c r="B283" s="119">
        <v>-7</v>
      </c>
      <c r="C283" s="128" t="s">
        <v>572</v>
      </c>
      <c r="D283" s="128">
        <v>4699031.5199999996</v>
      </c>
      <c r="E283" s="95">
        <f>VLOOKUP(A283,'Balancete 2014'!A:D,4,0)</f>
        <v>21900744.82</v>
      </c>
      <c r="H283" s="95">
        <v>829578704.90999997</v>
      </c>
      <c r="I283" s="99"/>
    </row>
    <row r="284" spans="1:14">
      <c r="A284" s="156" t="s">
        <v>573</v>
      </c>
      <c r="B284" s="119">
        <v>-5</v>
      </c>
      <c r="C284" s="128" t="s">
        <v>574</v>
      </c>
      <c r="D284" s="128">
        <v>1305526.28</v>
      </c>
      <c r="E284" s="95">
        <f>VLOOKUP(A284,'Balancete 2014'!A:D,4,0)</f>
        <v>1292261.17</v>
      </c>
      <c r="H284" s="95">
        <v>829578704.90999997</v>
      </c>
      <c r="I284" s="99"/>
    </row>
    <row r="285" spans="1:14">
      <c r="A285" s="156" t="s">
        <v>577</v>
      </c>
      <c r="B285" s="119">
        <v>-8</v>
      </c>
      <c r="C285" s="128" t="s">
        <v>578</v>
      </c>
      <c r="D285" s="128">
        <v>1342667.12</v>
      </c>
      <c r="E285" s="95">
        <f>VLOOKUP(A285,'Balancete 2014'!A:D,4,0)</f>
        <v>24013871.940000001</v>
      </c>
      <c r="H285" s="95">
        <v>10042533.48</v>
      </c>
      <c r="I285" s="99"/>
    </row>
    <row r="286" spans="1:14">
      <c r="A286" s="156" t="s">
        <v>579</v>
      </c>
      <c r="B286" s="119">
        <v>-3</v>
      </c>
      <c r="C286" s="128" t="s">
        <v>580</v>
      </c>
      <c r="D286" s="128">
        <v>1342667.12</v>
      </c>
      <c r="E286" s="95">
        <f>VLOOKUP(A286,'Balancete 2014'!A:D,4,0)</f>
        <v>24013871.940000001</v>
      </c>
      <c r="H286" s="95">
        <v>10042533.48</v>
      </c>
      <c r="I286" s="99"/>
    </row>
    <row r="287" spans="1:14">
      <c r="A287" s="156" t="s">
        <v>581</v>
      </c>
      <c r="B287" s="119">
        <v>-8</v>
      </c>
      <c r="C287" s="128" t="s">
        <v>582</v>
      </c>
      <c r="D287" s="128">
        <v>1342667.12</v>
      </c>
      <c r="E287" s="95">
        <f>VLOOKUP(A287,'Balancete 2014'!A:D,4,0)</f>
        <v>24013871.940000001</v>
      </c>
      <c r="H287" s="95">
        <v>10042533.48</v>
      </c>
      <c r="I287" s="99"/>
    </row>
    <row r="288" spans="1:14">
      <c r="A288" s="156" t="s">
        <v>332</v>
      </c>
      <c r="B288" s="119">
        <v>-8</v>
      </c>
      <c r="C288" s="119" t="s">
        <v>229</v>
      </c>
      <c r="D288" s="128">
        <v>92001488.469999999</v>
      </c>
      <c r="E288" s="95">
        <f>VLOOKUP(A288,'Balancete 2014'!A:D,4,0)</f>
        <v>912414694.49000001</v>
      </c>
      <c r="H288" s="95">
        <v>10042533.48</v>
      </c>
      <c r="I288" s="99"/>
    </row>
    <row r="289" spans="1:9">
      <c r="A289" s="156" t="s">
        <v>230</v>
      </c>
      <c r="B289" s="119">
        <v>-5</v>
      </c>
      <c r="C289" s="128" t="s">
        <v>231</v>
      </c>
      <c r="D289" s="128">
        <v>92001488.469999999</v>
      </c>
      <c r="E289" s="95">
        <f>VLOOKUP(A289,'Balancete 2014'!A:D,4,0)</f>
        <v>912414694.49000001</v>
      </c>
      <c r="H289" s="95">
        <v>15815993.16</v>
      </c>
      <c r="I289" s="99"/>
    </row>
    <row r="290" spans="1:9">
      <c r="A290" s="156" t="s">
        <v>232</v>
      </c>
      <c r="B290" s="119">
        <v>0</v>
      </c>
      <c r="C290" s="128" t="s">
        <v>231</v>
      </c>
      <c r="D290" s="128">
        <v>92001488.469999999</v>
      </c>
      <c r="E290" s="95">
        <f>VLOOKUP(A290,'Balancete 2014'!A:D,4,0)</f>
        <v>912414694.49000001</v>
      </c>
      <c r="H290" s="95">
        <v>15815993.16</v>
      </c>
      <c r="I290" s="99"/>
    </row>
    <row r="291" spans="1:9">
      <c r="A291" s="156" t="s">
        <v>233</v>
      </c>
      <c r="B291" s="119">
        <v>-5</v>
      </c>
      <c r="C291" s="128" t="s">
        <v>872</v>
      </c>
      <c r="D291" s="128">
        <v>33871260.969999999</v>
      </c>
      <c r="E291" s="95">
        <f>VLOOKUP(A291,'Balancete 2014'!A:D,4,0)</f>
        <v>879111632.69000006</v>
      </c>
      <c r="H291" s="95">
        <v>15815993.16</v>
      </c>
      <c r="I291" s="99"/>
    </row>
    <row r="292" spans="1:9">
      <c r="A292" s="156" t="s">
        <v>234</v>
      </c>
      <c r="B292" s="119">
        <v>-2</v>
      </c>
      <c r="C292" s="128" t="s">
        <v>235</v>
      </c>
      <c r="D292" s="128">
        <v>58130227.5</v>
      </c>
      <c r="E292" s="95">
        <f>VLOOKUP(A292,'Balancete 2014'!A:D,4,0)</f>
        <v>33303061.800000001</v>
      </c>
      <c r="H292" s="95">
        <v>15815993.16</v>
      </c>
      <c r="I292" s="99"/>
    </row>
    <row r="293" spans="1:9">
      <c r="A293" s="156" t="s">
        <v>335</v>
      </c>
      <c r="B293" s="119">
        <v>-6</v>
      </c>
      <c r="C293" s="119" t="s">
        <v>236</v>
      </c>
      <c r="D293" s="128">
        <v>1519105.37</v>
      </c>
      <c r="E293" s="95">
        <f>VLOOKUP(A293,'Balancete 2014'!A:D,4,0)</f>
        <v>70412842.400000006</v>
      </c>
      <c r="H293" s="95" t="e">
        <v>#N/A</v>
      </c>
      <c r="I293" s="99"/>
    </row>
    <row r="294" spans="1:9">
      <c r="A294" s="156" t="s">
        <v>237</v>
      </c>
      <c r="B294" s="119">
        <v>0</v>
      </c>
      <c r="C294" s="128" t="s">
        <v>238</v>
      </c>
      <c r="D294" s="128">
        <v>1519105.37</v>
      </c>
      <c r="E294" s="95">
        <f>VLOOKUP(A294,'Balancete 2014'!A:D,4,0)</f>
        <v>70412842.400000006</v>
      </c>
      <c r="H294" s="95" t="e">
        <v>#N/A</v>
      </c>
      <c r="I294" s="99"/>
    </row>
    <row r="295" spans="1:9">
      <c r="A295" s="156" t="s">
        <v>336</v>
      </c>
      <c r="B295" s="119">
        <v>-9</v>
      </c>
      <c r="C295" s="128" t="s">
        <v>873</v>
      </c>
      <c r="D295" s="128">
        <v>1467694.4</v>
      </c>
      <c r="E295" s="95">
        <f>VLOOKUP(A295,'Balancete 2014'!A:D,4,0)</f>
        <v>70412757.760000005</v>
      </c>
      <c r="H295" s="95" t="e">
        <v>#N/A</v>
      </c>
      <c r="I295" s="99"/>
    </row>
    <row r="296" spans="1:9">
      <c r="A296" s="156" t="s">
        <v>333</v>
      </c>
      <c r="B296" s="119">
        <v>-1</v>
      </c>
      <c r="C296" s="128" t="s">
        <v>874</v>
      </c>
      <c r="D296" s="128">
        <v>1467694.4</v>
      </c>
      <c r="E296" s="95">
        <f>VLOOKUP(A296,'Balancete 2014'!A:D,4,0)</f>
        <v>70412757.760000005</v>
      </c>
      <c r="H296" s="95" t="e">
        <v>#N/A</v>
      </c>
      <c r="I296" s="99"/>
    </row>
    <row r="297" spans="1:9">
      <c r="A297" s="156" t="s">
        <v>241</v>
      </c>
      <c r="B297" s="119">
        <v>-9</v>
      </c>
      <c r="C297" s="128" t="s">
        <v>587</v>
      </c>
      <c r="D297" s="128">
        <v>51410.97</v>
      </c>
      <c r="E297" s="95">
        <f>VLOOKUP(A297,'Balancete 2014'!A:D,4,0)</f>
        <v>72.78</v>
      </c>
      <c r="H297" s="95" t="e">
        <v>#N/A</v>
      </c>
      <c r="I297" s="99"/>
    </row>
    <row r="298" spans="1:9">
      <c r="A298" s="156" t="s">
        <v>920</v>
      </c>
      <c r="B298" s="119">
        <v>0</v>
      </c>
      <c r="C298" s="128" t="s">
        <v>921</v>
      </c>
      <c r="D298" s="128">
        <v>51410.97</v>
      </c>
      <c r="E298" s="95" t="e">
        <f>VLOOKUP(A298,'Balancete 2014'!A:D,4,0)</f>
        <v>#N/A</v>
      </c>
      <c r="H298" s="95" t="e">
        <v>#N/A</v>
      </c>
      <c r="I298" s="99"/>
    </row>
    <row r="299" spans="1:9">
      <c r="A299" s="156">
        <v>9</v>
      </c>
      <c r="B299" s="119">
        <v>-8</v>
      </c>
      <c r="C299" s="128" t="s">
        <v>626</v>
      </c>
      <c r="D299" s="128">
        <v>98361900.319999993</v>
      </c>
      <c r="E299" s="95">
        <f>VLOOKUP(A299,'Balancete 2014'!A:D,4,0)</f>
        <v>74647059.890000001</v>
      </c>
      <c r="H299" s="95" t="e">
        <v>#N/A</v>
      </c>
      <c r="I299" s="99"/>
    </row>
    <row r="300" spans="1:9">
      <c r="A300" s="156" t="s">
        <v>640</v>
      </c>
      <c r="B300" s="119">
        <v>-8</v>
      </c>
      <c r="C300" s="119" t="s">
        <v>626</v>
      </c>
      <c r="D300" s="128">
        <v>98361900.319999993</v>
      </c>
      <c r="E300" s="95">
        <f>VLOOKUP(A300,'Balancete 2014'!A:D,4,0)</f>
        <v>74647059.890000001</v>
      </c>
      <c r="H300" s="95">
        <v>745887094.76999998</v>
      </c>
      <c r="I300" s="99"/>
    </row>
    <row r="301" spans="1:9">
      <c r="A301" s="156" t="s">
        <v>641</v>
      </c>
      <c r="B301" s="119">
        <v>-1</v>
      </c>
      <c r="C301" s="119" t="s">
        <v>629</v>
      </c>
      <c r="D301" s="128">
        <v>98361900.319999993</v>
      </c>
      <c r="E301" s="95">
        <f>VLOOKUP(A301,'Balancete 2014'!A:D,4,0)</f>
        <v>74647059.890000001</v>
      </c>
      <c r="H301" s="95">
        <v>745887094.76999998</v>
      </c>
      <c r="I301" s="99"/>
    </row>
    <row r="302" spans="1:9">
      <c r="A302" s="156" t="s">
        <v>642</v>
      </c>
      <c r="B302" s="119">
        <v>-5</v>
      </c>
      <c r="C302" s="119" t="s">
        <v>643</v>
      </c>
      <c r="D302" s="128">
        <v>98361900.319999993</v>
      </c>
      <c r="E302" s="95">
        <f>VLOOKUP(A302,'Balancete 2014'!A:D,4,0)</f>
        <v>74647059.890000001</v>
      </c>
      <c r="H302" s="95">
        <v>745887094.76999998</v>
      </c>
      <c r="I302" s="99"/>
    </row>
    <row r="303" spans="1:9">
      <c r="A303" s="156" t="s">
        <v>644</v>
      </c>
      <c r="B303" s="119">
        <v>-1</v>
      </c>
      <c r="C303" s="119" t="s">
        <v>645</v>
      </c>
      <c r="D303" s="128">
        <v>98361900.319999993</v>
      </c>
      <c r="E303" s="95">
        <f>VLOOKUP(A303,'Balancete 2014'!A:D,4,0)</f>
        <v>74647059.890000001</v>
      </c>
      <c r="H303" s="95">
        <v>719600814.76999998</v>
      </c>
      <c r="I303" s="99"/>
    </row>
    <row r="304" spans="1:9">
      <c r="A304" s="156" t="s">
        <v>646</v>
      </c>
      <c r="B304" s="119">
        <v>-6</v>
      </c>
      <c r="C304" s="119" t="s">
        <v>647</v>
      </c>
      <c r="D304" s="128">
        <v>42865000</v>
      </c>
      <c r="E304" s="95">
        <f>VLOOKUP(A304,'Balancete 2014'!A:D,4,0)</f>
        <v>35006416.810000002</v>
      </c>
      <c r="H304" s="95">
        <v>26286280</v>
      </c>
      <c r="I304" s="99"/>
    </row>
    <row r="305" spans="1:4">
      <c r="A305" s="156" t="s">
        <v>648</v>
      </c>
      <c r="B305" s="119">
        <v>-4</v>
      </c>
      <c r="C305" s="119" t="s">
        <v>649</v>
      </c>
      <c r="D305" s="128">
        <v>55496900.32</v>
      </c>
    </row>
    <row r="306" spans="1:4">
      <c r="A306" s="92"/>
    </row>
    <row r="307" spans="1:4">
      <c r="A307" s="92"/>
      <c r="D307" s="93" t="s">
        <v>990</v>
      </c>
    </row>
    <row r="308" spans="1:4">
      <c r="A308" s="92"/>
    </row>
    <row r="309" spans="1:4">
      <c r="A309" s="92"/>
    </row>
    <row r="310" spans="1:4">
      <c r="A310" s="92"/>
    </row>
    <row r="311" spans="1:4">
      <c r="A311" s="92"/>
    </row>
    <row r="312" spans="1:4">
      <c r="A312" s="92"/>
      <c r="B312" s="92"/>
    </row>
    <row r="313" spans="1:4">
      <c r="A313" s="92"/>
    </row>
    <row r="314" spans="1:4">
      <c r="A314" s="92"/>
    </row>
    <row r="315" spans="1:4">
      <c r="A315" s="92"/>
    </row>
    <row r="316" spans="1:4">
      <c r="A316" s="92"/>
    </row>
    <row r="317" spans="1:4">
      <c r="A317" s="92"/>
    </row>
    <row r="318" spans="1:4">
      <c r="A318" s="92"/>
    </row>
    <row r="319" spans="1:4">
      <c r="A319" s="92"/>
    </row>
    <row r="320" spans="1:4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1">
      <c r="A337" s="92"/>
    </row>
    <row r="338" spans="1:1">
      <c r="A338" s="92"/>
    </row>
    <row r="339" spans="1:1">
      <c r="A339" s="92"/>
    </row>
    <row r="340" spans="1:1">
      <c r="A340" s="92"/>
    </row>
    <row r="341" spans="1:1">
      <c r="A341" s="92"/>
    </row>
    <row r="342" spans="1:1">
      <c r="A342" s="92"/>
    </row>
    <row r="346" spans="1:1">
      <c r="A346" s="131"/>
    </row>
  </sheetData>
  <phoneticPr fontId="2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7"/>
  <dimension ref="A1:H342"/>
  <sheetViews>
    <sheetView workbookViewId="0">
      <selection activeCell="D226" activeCellId="2" sqref="D215 D220 D226"/>
    </sheetView>
  </sheetViews>
  <sheetFormatPr defaultRowHeight="12.75"/>
  <cols>
    <col min="1" max="1" width="17.5703125" bestFit="1" customWidth="1"/>
    <col min="2" max="2" width="3.7109375" bestFit="1" customWidth="1"/>
    <col min="3" max="3" width="64.140625" bestFit="1" customWidth="1"/>
    <col min="4" max="4" width="30.7109375" customWidth="1"/>
  </cols>
  <sheetData>
    <row r="1" spans="1:4">
      <c r="A1" t="s">
        <v>650</v>
      </c>
      <c r="B1" t="s">
        <v>651</v>
      </c>
      <c r="C1" t="s">
        <v>1121</v>
      </c>
      <c r="D1" t="s">
        <v>1012</v>
      </c>
    </row>
    <row r="2" spans="1:4">
      <c r="A2" s="50">
        <v>0.74960648148148146</v>
      </c>
      <c r="C2" t="s">
        <v>713</v>
      </c>
      <c r="D2" t="s">
        <v>714</v>
      </c>
    </row>
    <row r="3" spans="1:4">
      <c r="A3" t="s">
        <v>652</v>
      </c>
      <c r="B3" t="s">
        <v>653</v>
      </c>
      <c r="C3" t="s">
        <v>715</v>
      </c>
      <c r="D3" t="s">
        <v>1013</v>
      </c>
    </row>
    <row r="4" spans="1:4">
      <c r="A4" t="s">
        <v>617</v>
      </c>
      <c r="B4" t="s">
        <v>618</v>
      </c>
      <c r="C4" t="s">
        <v>717</v>
      </c>
      <c r="D4" t="s">
        <v>718</v>
      </c>
    </row>
    <row r="5" spans="1:4">
      <c r="A5" t="s">
        <v>619</v>
      </c>
      <c r="B5" t="s">
        <v>620</v>
      </c>
      <c r="C5" t="s">
        <v>621</v>
      </c>
    </row>
    <row r="6" spans="1:4">
      <c r="A6" t="s">
        <v>617</v>
      </c>
      <c r="B6" t="s">
        <v>618</v>
      </c>
      <c r="C6" t="s">
        <v>717</v>
      </c>
      <c r="D6" t="s">
        <v>718</v>
      </c>
    </row>
    <row r="8" spans="1:4">
      <c r="A8">
        <v>1</v>
      </c>
      <c r="B8">
        <v>-7</v>
      </c>
      <c r="C8" t="s">
        <v>346</v>
      </c>
      <c r="D8" s="2">
        <v>1632038031.6600001</v>
      </c>
    </row>
    <row r="9" spans="1:4">
      <c r="A9" t="s">
        <v>315</v>
      </c>
      <c r="B9">
        <v>-4</v>
      </c>
      <c r="C9" t="s">
        <v>347</v>
      </c>
      <c r="D9">
        <v>687.88</v>
      </c>
    </row>
    <row r="10" spans="1:4">
      <c r="A10" t="s">
        <v>348</v>
      </c>
      <c r="B10">
        <v>-2</v>
      </c>
      <c r="C10" t="s">
        <v>349</v>
      </c>
      <c r="D10">
        <v>635.9</v>
      </c>
    </row>
    <row r="11" spans="1:4">
      <c r="A11" t="s">
        <v>350</v>
      </c>
      <c r="B11">
        <v>0</v>
      </c>
      <c r="C11" t="s">
        <v>349</v>
      </c>
      <c r="D11">
        <v>635.9</v>
      </c>
    </row>
    <row r="12" spans="1:4">
      <c r="A12" t="s">
        <v>352</v>
      </c>
      <c r="B12">
        <v>-5</v>
      </c>
      <c r="C12" t="s">
        <v>349</v>
      </c>
      <c r="D12">
        <v>635.9</v>
      </c>
    </row>
    <row r="13" spans="1:4">
      <c r="A13" t="s">
        <v>353</v>
      </c>
      <c r="B13">
        <v>-3</v>
      </c>
      <c r="C13" t="s">
        <v>349</v>
      </c>
      <c r="D13">
        <v>635.9</v>
      </c>
    </row>
    <row r="14" spans="1:4">
      <c r="A14" t="s">
        <v>354</v>
      </c>
      <c r="B14">
        <v>0</v>
      </c>
      <c r="C14" t="s">
        <v>355</v>
      </c>
      <c r="D14">
        <v>51.98</v>
      </c>
    </row>
    <row r="15" spans="1:4">
      <c r="A15" t="s">
        <v>356</v>
      </c>
      <c r="B15">
        <v>-2</v>
      </c>
      <c r="C15" t="s">
        <v>355</v>
      </c>
      <c r="D15">
        <v>51.98</v>
      </c>
    </row>
    <row r="16" spans="1:4">
      <c r="A16" t="s">
        <v>357</v>
      </c>
      <c r="B16">
        <v>-8</v>
      </c>
      <c r="C16" t="s">
        <v>355</v>
      </c>
      <c r="D16">
        <v>51.98</v>
      </c>
    </row>
    <row r="17" spans="1:4">
      <c r="A17" t="s">
        <v>358</v>
      </c>
      <c r="B17">
        <v>-6</v>
      </c>
      <c r="C17" t="s">
        <v>355</v>
      </c>
      <c r="D17">
        <v>51.98</v>
      </c>
    </row>
    <row r="18" spans="1:4">
      <c r="A18" t="s">
        <v>316</v>
      </c>
      <c r="B18">
        <v>-1</v>
      </c>
      <c r="C18" t="s">
        <v>359</v>
      </c>
      <c r="D18" s="2">
        <v>117751873.09999999</v>
      </c>
    </row>
    <row r="19" spans="1:4">
      <c r="A19" t="s">
        <v>360</v>
      </c>
      <c r="B19">
        <v>0</v>
      </c>
      <c r="C19" t="s">
        <v>361</v>
      </c>
      <c r="D19" s="2">
        <v>117751873.09999999</v>
      </c>
    </row>
    <row r="20" spans="1:4">
      <c r="A20" t="s">
        <v>362</v>
      </c>
      <c r="B20">
        <v>-3</v>
      </c>
      <c r="C20" t="s">
        <v>363</v>
      </c>
      <c r="D20" s="2">
        <v>117751873.09999999</v>
      </c>
    </row>
    <row r="21" spans="1:4">
      <c r="A21" t="s">
        <v>372</v>
      </c>
      <c r="B21">
        <v>-8</v>
      </c>
      <c r="C21" t="s">
        <v>373</v>
      </c>
      <c r="D21" s="2">
        <v>117751873.09999999</v>
      </c>
    </row>
    <row r="22" spans="1:4">
      <c r="A22" t="s">
        <v>374</v>
      </c>
      <c r="B22">
        <v>-9</v>
      </c>
      <c r="C22" t="s">
        <v>879</v>
      </c>
      <c r="D22" s="2">
        <v>117751873.09999999</v>
      </c>
    </row>
    <row r="23" spans="1:4">
      <c r="A23" t="s">
        <v>365</v>
      </c>
      <c r="B23">
        <v>-9</v>
      </c>
      <c r="C23" t="s">
        <v>366</v>
      </c>
      <c r="D23" s="2">
        <v>1507348347.52</v>
      </c>
    </row>
    <row r="24" spans="1:4">
      <c r="A24" t="s">
        <v>367</v>
      </c>
      <c r="B24">
        <v>-7</v>
      </c>
      <c r="C24" t="s">
        <v>368</v>
      </c>
      <c r="D24" s="2">
        <v>1507348347.52</v>
      </c>
    </row>
    <row r="25" spans="1:4">
      <c r="A25" t="s">
        <v>318</v>
      </c>
      <c r="B25">
        <v>0</v>
      </c>
      <c r="C25" t="s">
        <v>0</v>
      </c>
      <c r="D25" s="2">
        <v>688876225.20000005</v>
      </c>
    </row>
    <row r="26" spans="1:4">
      <c r="A26" t="s">
        <v>1</v>
      </c>
      <c r="B26">
        <v>-7</v>
      </c>
      <c r="C26" t="s">
        <v>2</v>
      </c>
      <c r="D26" s="2">
        <v>688876225.20000005</v>
      </c>
    </row>
    <row r="27" spans="1:4">
      <c r="A27" t="s">
        <v>3</v>
      </c>
      <c r="B27">
        <v>-5</v>
      </c>
      <c r="C27" t="s">
        <v>796</v>
      </c>
      <c r="D27" s="2">
        <v>688876225.20000005</v>
      </c>
    </row>
    <row r="28" spans="1:4">
      <c r="A28" t="s">
        <v>377</v>
      </c>
      <c r="B28">
        <v>-3</v>
      </c>
      <c r="C28" t="s">
        <v>378</v>
      </c>
      <c r="D28" s="2">
        <v>97899807.069999993</v>
      </c>
    </row>
    <row r="29" spans="1:4">
      <c r="A29" t="s">
        <v>379</v>
      </c>
      <c r="B29">
        <v>-6</v>
      </c>
      <c r="C29" t="s">
        <v>380</v>
      </c>
      <c r="D29" s="2">
        <v>97899807.069999993</v>
      </c>
    </row>
    <row r="30" spans="1:4">
      <c r="A30" t="s">
        <v>381</v>
      </c>
      <c r="B30">
        <v>-4</v>
      </c>
      <c r="C30" t="s">
        <v>880</v>
      </c>
      <c r="D30" s="2">
        <v>97899807.069999993</v>
      </c>
    </row>
    <row r="31" spans="1:4">
      <c r="A31" t="s">
        <v>317</v>
      </c>
      <c r="B31">
        <v>-4</v>
      </c>
      <c r="C31" t="s">
        <v>4</v>
      </c>
      <c r="D31" s="2">
        <v>720572315.25</v>
      </c>
    </row>
    <row r="32" spans="1:4">
      <c r="A32" t="s">
        <v>5</v>
      </c>
      <c r="B32">
        <v>0</v>
      </c>
      <c r="C32" t="s">
        <v>6</v>
      </c>
      <c r="D32" s="2">
        <v>720572315.25</v>
      </c>
    </row>
    <row r="33" spans="1:4">
      <c r="A33" t="s">
        <v>7</v>
      </c>
      <c r="B33">
        <v>-7</v>
      </c>
      <c r="C33" t="s">
        <v>881</v>
      </c>
      <c r="D33" s="2">
        <v>720572315.25</v>
      </c>
    </row>
    <row r="34" spans="1:4">
      <c r="A34" t="s">
        <v>12</v>
      </c>
      <c r="B34">
        <v>-5</v>
      </c>
      <c r="C34" t="s">
        <v>13</v>
      </c>
      <c r="D34" s="2">
        <v>6937123.1600000001</v>
      </c>
    </row>
    <row r="35" spans="1:4">
      <c r="A35" t="s">
        <v>319</v>
      </c>
      <c r="B35">
        <v>0</v>
      </c>
      <c r="C35" t="s">
        <v>14</v>
      </c>
      <c r="D35" s="2">
        <v>1758669.46</v>
      </c>
    </row>
    <row r="36" spans="1:4">
      <c r="A36" t="s">
        <v>15</v>
      </c>
      <c r="B36">
        <v>-1</v>
      </c>
      <c r="C36" t="s">
        <v>16</v>
      </c>
      <c r="D36" s="2">
        <v>1758669.46</v>
      </c>
    </row>
    <row r="37" spans="1:4">
      <c r="A37" t="s">
        <v>17</v>
      </c>
      <c r="B37">
        <v>-3</v>
      </c>
      <c r="C37" t="s">
        <v>1014</v>
      </c>
      <c r="D37" s="2">
        <v>1758669.46</v>
      </c>
    </row>
    <row r="38" spans="1:4">
      <c r="A38" t="s">
        <v>18</v>
      </c>
      <c r="B38">
        <v>-1</v>
      </c>
      <c r="C38" t="s">
        <v>798</v>
      </c>
      <c r="D38" s="2">
        <v>335347.78000000003</v>
      </c>
    </row>
    <row r="39" spans="1:4">
      <c r="A39" t="s">
        <v>19</v>
      </c>
      <c r="B39">
        <v>0</v>
      </c>
      <c r="C39" t="s">
        <v>799</v>
      </c>
      <c r="D39" s="2">
        <v>1423321.68</v>
      </c>
    </row>
    <row r="40" spans="1:4">
      <c r="A40" t="s">
        <v>320</v>
      </c>
      <c r="B40">
        <v>0</v>
      </c>
      <c r="C40" t="s">
        <v>20</v>
      </c>
      <c r="D40" s="2">
        <v>5178453.7</v>
      </c>
    </row>
    <row r="41" spans="1:4">
      <c r="A41" t="s">
        <v>21</v>
      </c>
      <c r="B41">
        <v>0</v>
      </c>
      <c r="C41" t="s">
        <v>22</v>
      </c>
      <c r="D41" s="2">
        <v>57498.64</v>
      </c>
    </row>
    <row r="42" spans="1:4">
      <c r="A42" t="s">
        <v>23</v>
      </c>
      <c r="B42">
        <v>-4</v>
      </c>
      <c r="C42" t="s">
        <v>969</v>
      </c>
      <c r="D42" s="2">
        <v>57498.64</v>
      </c>
    </row>
    <row r="43" spans="1:4">
      <c r="A43" t="s">
        <v>24</v>
      </c>
      <c r="B43">
        <v>-2</v>
      </c>
      <c r="C43" t="s">
        <v>800</v>
      </c>
      <c r="D43" s="2">
        <v>42278.41</v>
      </c>
    </row>
    <row r="44" spans="1:4">
      <c r="A44" t="s">
        <v>25</v>
      </c>
      <c r="B44">
        <v>0</v>
      </c>
      <c r="C44" t="s">
        <v>801</v>
      </c>
      <c r="D44" s="2">
        <v>15220.23</v>
      </c>
    </row>
    <row r="45" spans="1:4">
      <c r="A45" t="s">
        <v>26</v>
      </c>
      <c r="B45">
        <v>-8</v>
      </c>
      <c r="C45" t="s">
        <v>27</v>
      </c>
      <c r="D45" s="2">
        <v>1236823</v>
      </c>
    </row>
    <row r="46" spans="1:4">
      <c r="A46" t="s">
        <v>390</v>
      </c>
      <c r="B46">
        <v>0</v>
      </c>
      <c r="C46" t="s">
        <v>942</v>
      </c>
      <c r="D46" s="2">
        <v>1183278.52</v>
      </c>
    </row>
    <row r="47" spans="1:4">
      <c r="A47" t="s">
        <v>396</v>
      </c>
      <c r="B47">
        <v>-2</v>
      </c>
      <c r="C47" t="s">
        <v>945</v>
      </c>
      <c r="D47" s="2">
        <v>1183278.52</v>
      </c>
    </row>
    <row r="48" spans="1:4">
      <c r="A48" t="s">
        <v>676</v>
      </c>
      <c r="B48">
        <v>-5</v>
      </c>
      <c r="C48" t="s">
        <v>1015</v>
      </c>
      <c r="D48" s="2">
        <v>53544.480000000003</v>
      </c>
    </row>
    <row r="49" spans="1:4">
      <c r="A49" t="s">
        <v>677</v>
      </c>
      <c r="B49">
        <v>-3</v>
      </c>
      <c r="C49" t="s">
        <v>882</v>
      </c>
      <c r="D49" s="2">
        <v>53544.480000000003</v>
      </c>
    </row>
    <row r="50" spans="1:4">
      <c r="A50" t="s">
        <v>883</v>
      </c>
      <c r="B50">
        <v>-2</v>
      </c>
      <c r="C50" t="s">
        <v>884</v>
      </c>
      <c r="D50" s="2">
        <v>3878274.07</v>
      </c>
    </row>
    <row r="51" spans="1:4">
      <c r="A51" t="s">
        <v>885</v>
      </c>
      <c r="B51">
        <v>-8</v>
      </c>
      <c r="C51" t="s">
        <v>886</v>
      </c>
      <c r="D51" s="2">
        <v>3878274.07</v>
      </c>
    </row>
    <row r="52" spans="1:4">
      <c r="A52" t="s">
        <v>887</v>
      </c>
      <c r="B52">
        <v>-2</v>
      </c>
      <c r="C52" t="s">
        <v>888</v>
      </c>
      <c r="D52" s="2">
        <v>3878274.07</v>
      </c>
    </row>
    <row r="53" spans="1:4">
      <c r="A53" t="s">
        <v>302</v>
      </c>
      <c r="B53">
        <v>-2</v>
      </c>
      <c r="C53" t="s">
        <v>303</v>
      </c>
      <c r="D53" s="2">
        <v>5857.99</v>
      </c>
    </row>
    <row r="54" spans="1:4">
      <c r="A54" t="s">
        <v>304</v>
      </c>
      <c r="B54">
        <v>-7</v>
      </c>
      <c r="C54" t="s">
        <v>303</v>
      </c>
      <c r="D54" s="2">
        <v>5857.99</v>
      </c>
    </row>
    <row r="55" spans="1:4">
      <c r="A55" t="s">
        <v>305</v>
      </c>
      <c r="B55">
        <v>-4</v>
      </c>
      <c r="C55" t="s">
        <v>889</v>
      </c>
      <c r="D55" s="2">
        <v>5857.99</v>
      </c>
    </row>
    <row r="56" spans="1:4">
      <c r="A56">
        <v>2</v>
      </c>
      <c r="B56">
        <v>-3</v>
      </c>
      <c r="C56" t="s">
        <v>622</v>
      </c>
      <c r="D56" s="2">
        <v>2052857494.0799999</v>
      </c>
    </row>
    <row r="57" spans="1:4">
      <c r="A57" t="s">
        <v>321</v>
      </c>
      <c r="B57">
        <v>0</v>
      </c>
      <c r="C57" t="s">
        <v>28</v>
      </c>
      <c r="D57" s="2">
        <v>2052857494.0799999</v>
      </c>
    </row>
    <row r="58" spans="1:4">
      <c r="A58" t="s">
        <v>29</v>
      </c>
      <c r="B58">
        <v>-7</v>
      </c>
      <c r="C58" t="s">
        <v>30</v>
      </c>
      <c r="D58" s="2">
        <v>2052857494.0799999</v>
      </c>
    </row>
    <row r="59" spans="1:4">
      <c r="A59" t="s">
        <v>31</v>
      </c>
      <c r="B59">
        <v>0</v>
      </c>
      <c r="C59" t="s">
        <v>32</v>
      </c>
      <c r="D59" s="2">
        <v>2087333381.1500001</v>
      </c>
    </row>
    <row r="60" spans="1:4">
      <c r="A60" t="s">
        <v>268</v>
      </c>
      <c r="B60">
        <v>-2</v>
      </c>
      <c r="C60" t="s">
        <v>399</v>
      </c>
      <c r="D60" s="2">
        <v>1485670937.0699999</v>
      </c>
    </row>
    <row r="61" spans="1:4">
      <c r="A61" t="s">
        <v>269</v>
      </c>
      <c r="B61">
        <v>0</v>
      </c>
      <c r="C61" t="s">
        <v>1016</v>
      </c>
      <c r="D61" s="2">
        <v>1486623576.26</v>
      </c>
    </row>
    <row r="62" spans="1:4">
      <c r="A62" t="s">
        <v>654</v>
      </c>
      <c r="B62">
        <v>-9</v>
      </c>
      <c r="C62" t="s">
        <v>655</v>
      </c>
      <c r="D62" s="2">
        <v>-952639.19</v>
      </c>
    </row>
    <row r="63" spans="1:4">
      <c r="A63" t="s">
        <v>270</v>
      </c>
      <c r="B63">
        <v>-9</v>
      </c>
      <c r="C63" t="s">
        <v>400</v>
      </c>
      <c r="D63" s="2">
        <v>176358000</v>
      </c>
    </row>
    <row r="64" spans="1:4">
      <c r="A64" t="s">
        <v>271</v>
      </c>
      <c r="B64">
        <v>-7</v>
      </c>
      <c r="C64" t="s">
        <v>401</v>
      </c>
      <c r="D64" s="2">
        <v>176358000</v>
      </c>
    </row>
    <row r="65" spans="1:4">
      <c r="A65" t="s">
        <v>272</v>
      </c>
      <c r="B65">
        <v>-1</v>
      </c>
      <c r="C65" t="s">
        <v>402</v>
      </c>
      <c r="D65" s="2">
        <v>32683799.68</v>
      </c>
    </row>
    <row r="66" spans="1:4">
      <c r="A66" t="s">
        <v>273</v>
      </c>
      <c r="B66">
        <v>0</v>
      </c>
      <c r="C66" t="s">
        <v>403</v>
      </c>
      <c r="D66" s="2">
        <v>162276000</v>
      </c>
    </row>
    <row r="67" spans="1:4">
      <c r="A67" t="s">
        <v>274</v>
      </c>
      <c r="B67">
        <v>-8</v>
      </c>
      <c r="C67" t="s">
        <v>404</v>
      </c>
      <c r="D67" s="2">
        <v>-129592200.31999999</v>
      </c>
    </row>
    <row r="68" spans="1:4">
      <c r="A68" t="s">
        <v>275</v>
      </c>
      <c r="B68">
        <v>-8</v>
      </c>
      <c r="C68" t="s">
        <v>276</v>
      </c>
      <c r="D68" s="2">
        <v>146024147.78</v>
      </c>
    </row>
    <row r="69" spans="1:4">
      <c r="A69" t="s">
        <v>278</v>
      </c>
      <c r="B69">
        <v>-4</v>
      </c>
      <c r="C69" t="s">
        <v>405</v>
      </c>
      <c r="D69" s="2">
        <v>23111134.75</v>
      </c>
    </row>
    <row r="70" spans="1:4">
      <c r="A70" t="s">
        <v>279</v>
      </c>
      <c r="B70">
        <v>-2</v>
      </c>
      <c r="C70" t="s">
        <v>406</v>
      </c>
      <c r="D70" s="2">
        <v>6993684.9100000001</v>
      </c>
    </row>
    <row r="71" spans="1:4">
      <c r="A71" t="s">
        <v>407</v>
      </c>
      <c r="B71">
        <v>0</v>
      </c>
      <c r="C71" t="s">
        <v>408</v>
      </c>
      <c r="D71" s="2">
        <v>39408512.359999999</v>
      </c>
    </row>
    <row r="72" spans="1:4">
      <c r="A72" t="s">
        <v>280</v>
      </c>
      <c r="B72">
        <v>0</v>
      </c>
      <c r="C72" t="s">
        <v>409</v>
      </c>
      <c r="D72" s="2">
        <v>1874310.73</v>
      </c>
    </row>
    <row r="73" spans="1:4">
      <c r="A73" t="s">
        <v>281</v>
      </c>
      <c r="B73">
        <v>-9</v>
      </c>
      <c r="C73" t="s">
        <v>410</v>
      </c>
      <c r="D73" s="2">
        <v>2.5</v>
      </c>
    </row>
    <row r="74" spans="1:4">
      <c r="A74" t="s">
        <v>282</v>
      </c>
      <c r="B74">
        <v>-7</v>
      </c>
      <c r="C74" t="s">
        <v>411</v>
      </c>
      <c r="D74" s="2">
        <v>32684684.059999999</v>
      </c>
    </row>
    <row r="75" spans="1:4">
      <c r="A75" t="s">
        <v>284</v>
      </c>
      <c r="B75">
        <v>-1</v>
      </c>
      <c r="C75" t="s">
        <v>413</v>
      </c>
      <c r="D75" s="2">
        <v>37404565.130000003</v>
      </c>
    </row>
    <row r="76" spans="1:4">
      <c r="A76" t="s">
        <v>414</v>
      </c>
      <c r="B76">
        <v>0</v>
      </c>
      <c r="C76" t="s">
        <v>1017</v>
      </c>
      <c r="D76" s="2">
        <v>1010953.34</v>
      </c>
    </row>
    <row r="77" spans="1:4">
      <c r="A77" t="s">
        <v>691</v>
      </c>
      <c r="B77">
        <v>0</v>
      </c>
      <c r="C77" t="s">
        <v>890</v>
      </c>
      <c r="D77" s="2">
        <v>3536300</v>
      </c>
    </row>
    <row r="78" spans="1:4">
      <c r="A78" t="s">
        <v>285</v>
      </c>
      <c r="B78">
        <v>-4</v>
      </c>
      <c r="C78" t="s">
        <v>416</v>
      </c>
      <c r="D78" s="2">
        <v>79281286</v>
      </c>
    </row>
    <row r="79" spans="1:4">
      <c r="A79" t="s">
        <v>286</v>
      </c>
      <c r="B79">
        <v>-2</v>
      </c>
      <c r="C79" t="s">
        <v>417</v>
      </c>
      <c r="D79" s="2">
        <v>79281286</v>
      </c>
    </row>
    <row r="80" spans="1:4">
      <c r="A80" t="s">
        <v>287</v>
      </c>
      <c r="B80">
        <v>-7</v>
      </c>
      <c r="C80" t="s">
        <v>891</v>
      </c>
      <c r="D80" s="2">
        <v>104734212</v>
      </c>
    </row>
    <row r="81" spans="1:4">
      <c r="A81" t="s">
        <v>288</v>
      </c>
      <c r="B81">
        <v>-5</v>
      </c>
      <c r="C81" t="s">
        <v>419</v>
      </c>
      <c r="D81" s="2">
        <v>190425840</v>
      </c>
    </row>
    <row r="82" spans="1:4">
      <c r="A82" t="s">
        <v>289</v>
      </c>
      <c r="B82">
        <v>-3</v>
      </c>
      <c r="C82" t="s">
        <v>420</v>
      </c>
      <c r="D82" s="2">
        <v>-85691628</v>
      </c>
    </row>
    <row r="83" spans="1:4">
      <c r="A83" t="s">
        <v>750</v>
      </c>
      <c r="B83">
        <v>0</v>
      </c>
      <c r="C83" t="s">
        <v>892</v>
      </c>
      <c r="D83" s="2">
        <v>62580998.619999997</v>
      </c>
    </row>
    <row r="84" spans="1:4">
      <c r="A84" t="s">
        <v>752</v>
      </c>
      <c r="B84">
        <v>-8</v>
      </c>
      <c r="C84" t="s">
        <v>694</v>
      </c>
      <c r="D84" s="2">
        <v>66011000</v>
      </c>
    </row>
    <row r="85" spans="1:4">
      <c r="A85" t="s">
        <v>754</v>
      </c>
      <c r="B85">
        <v>-6</v>
      </c>
      <c r="C85" t="s">
        <v>747</v>
      </c>
      <c r="D85" s="2">
        <v>-3430001.38</v>
      </c>
    </row>
    <row r="86" spans="1:4">
      <c r="A86" t="s">
        <v>1018</v>
      </c>
      <c r="B86">
        <v>0</v>
      </c>
      <c r="C86" t="s">
        <v>1019</v>
      </c>
      <c r="D86" s="2">
        <v>-34475887.07</v>
      </c>
    </row>
    <row r="87" spans="1:4">
      <c r="A87" t="s">
        <v>1020</v>
      </c>
      <c r="B87">
        <v>-4</v>
      </c>
      <c r="C87" t="s">
        <v>1021</v>
      </c>
      <c r="D87" s="2">
        <v>-34475887.07</v>
      </c>
    </row>
    <row r="88" spans="1:4">
      <c r="A88" t="s">
        <v>1022</v>
      </c>
      <c r="B88">
        <v>-9</v>
      </c>
      <c r="C88" t="s">
        <v>1023</v>
      </c>
      <c r="D88" s="2">
        <v>-34475887.07</v>
      </c>
    </row>
    <row r="89" spans="1:4">
      <c r="A89" t="s">
        <v>322</v>
      </c>
      <c r="B89">
        <v>-8</v>
      </c>
      <c r="C89" t="s">
        <v>33</v>
      </c>
      <c r="D89" s="2">
        <v>0</v>
      </c>
    </row>
    <row r="90" spans="1:4">
      <c r="A90" t="s">
        <v>34</v>
      </c>
      <c r="B90">
        <v>0</v>
      </c>
      <c r="C90" t="s">
        <v>35</v>
      </c>
      <c r="D90" s="2">
        <v>0</v>
      </c>
    </row>
    <row r="91" spans="1:4">
      <c r="A91" t="s">
        <v>421</v>
      </c>
      <c r="B91">
        <v>-8</v>
      </c>
      <c r="C91" t="s">
        <v>422</v>
      </c>
      <c r="D91" s="2">
        <v>1500</v>
      </c>
    </row>
    <row r="92" spans="1:4">
      <c r="A92" t="s">
        <v>423</v>
      </c>
      <c r="B92">
        <v>0</v>
      </c>
      <c r="C92" t="s">
        <v>424</v>
      </c>
      <c r="D92" s="2">
        <v>1500</v>
      </c>
    </row>
    <row r="93" spans="1:4">
      <c r="A93" t="s">
        <v>425</v>
      </c>
      <c r="B93">
        <v>-9</v>
      </c>
      <c r="C93" t="s">
        <v>893</v>
      </c>
      <c r="D93" s="2">
        <v>1500</v>
      </c>
    </row>
    <row r="94" spans="1:4">
      <c r="A94" t="s">
        <v>36</v>
      </c>
      <c r="B94">
        <v>-4</v>
      </c>
      <c r="C94" t="s">
        <v>37</v>
      </c>
      <c r="D94" s="2">
        <v>-1500</v>
      </c>
    </row>
    <row r="95" spans="1:4">
      <c r="A95" t="s">
        <v>38</v>
      </c>
      <c r="B95">
        <v>0</v>
      </c>
      <c r="C95" t="s">
        <v>426</v>
      </c>
      <c r="D95" s="2">
        <v>-1500</v>
      </c>
    </row>
    <row r="96" spans="1:4">
      <c r="A96" t="s">
        <v>39</v>
      </c>
      <c r="B96">
        <v>-4</v>
      </c>
      <c r="C96" t="s">
        <v>894</v>
      </c>
      <c r="D96" s="2">
        <v>-1500</v>
      </c>
    </row>
    <row r="97" spans="1:4">
      <c r="A97">
        <v>3</v>
      </c>
      <c r="B97">
        <v>0</v>
      </c>
      <c r="C97" t="s">
        <v>626</v>
      </c>
      <c r="D97" s="2">
        <v>114218157.56</v>
      </c>
    </row>
    <row r="98" spans="1:4">
      <c r="A98" t="s">
        <v>627</v>
      </c>
      <c r="B98">
        <v>0</v>
      </c>
      <c r="C98" t="s">
        <v>626</v>
      </c>
      <c r="D98" s="2">
        <v>114218157.56</v>
      </c>
    </row>
    <row r="99" spans="1:4">
      <c r="A99" t="s">
        <v>628</v>
      </c>
      <c r="B99">
        <v>-3</v>
      </c>
      <c r="C99" t="s">
        <v>629</v>
      </c>
      <c r="D99" s="2">
        <v>114218157.56</v>
      </c>
    </row>
    <row r="100" spans="1:4">
      <c r="A100" t="s">
        <v>630</v>
      </c>
      <c r="B100">
        <v>-7</v>
      </c>
      <c r="C100" t="s">
        <v>631</v>
      </c>
      <c r="D100" s="2">
        <v>114218157.56</v>
      </c>
    </row>
    <row r="101" spans="1:4">
      <c r="A101" t="s">
        <v>632</v>
      </c>
      <c r="B101">
        <v>-3</v>
      </c>
      <c r="C101" t="s">
        <v>631</v>
      </c>
      <c r="D101" s="2">
        <v>114218157.56</v>
      </c>
    </row>
    <row r="102" spans="1:4">
      <c r="A102" t="s">
        <v>633</v>
      </c>
      <c r="B102">
        <v>-8</v>
      </c>
      <c r="C102" t="s">
        <v>634</v>
      </c>
      <c r="D102" s="2">
        <v>42865000</v>
      </c>
    </row>
    <row r="103" spans="1:4">
      <c r="A103" t="s">
        <v>635</v>
      </c>
      <c r="B103">
        <v>-6</v>
      </c>
      <c r="C103" t="s">
        <v>636</v>
      </c>
      <c r="D103" s="2">
        <v>71353157.560000002</v>
      </c>
    </row>
    <row r="104" spans="1:4">
      <c r="A104">
        <v>8</v>
      </c>
      <c r="B104">
        <v>-1</v>
      </c>
      <c r="C104" t="s">
        <v>40</v>
      </c>
      <c r="D104" s="2">
        <v>320368802.38</v>
      </c>
    </row>
    <row r="105" spans="1:4">
      <c r="A105" t="s">
        <v>41</v>
      </c>
      <c r="B105">
        <v>-9</v>
      </c>
      <c r="C105" t="s">
        <v>42</v>
      </c>
      <c r="D105" s="2">
        <v>288326842.72000003</v>
      </c>
    </row>
    <row r="106" spans="1:4">
      <c r="A106" t="s">
        <v>334</v>
      </c>
      <c r="B106">
        <v>-8</v>
      </c>
      <c r="C106" t="s">
        <v>43</v>
      </c>
      <c r="D106" s="2">
        <v>230349612.99000001</v>
      </c>
    </row>
    <row r="107" spans="1:4">
      <c r="A107" t="s">
        <v>44</v>
      </c>
      <c r="B107">
        <v>-5</v>
      </c>
      <c r="C107" t="s">
        <v>45</v>
      </c>
      <c r="D107" s="2">
        <v>230349612.99000001</v>
      </c>
    </row>
    <row r="108" spans="1:4">
      <c r="A108" t="s">
        <v>46</v>
      </c>
      <c r="B108">
        <v>0</v>
      </c>
      <c r="C108" t="s">
        <v>47</v>
      </c>
      <c r="D108" s="2">
        <v>230349612.99000001</v>
      </c>
    </row>
    <row r="109" spans="1:4">
      <c r="A109" t="s">
        <v>49</v>
      </c>
      <c r="B109">
        <v>-3</v>
      </c>
      <c r="C109" t="s">
        <v>1024</v>
      </c>
      <c r="D109" s="2">
        <v>20906999.82</v>
      </c>
    </row>
    <row r="110" spans="1:4">
      <c r="A110" t="s">
        <v>50</v>
      </c>
      <c r="B110">
        <v>-2</v>
      </c>
      <c r="C110" t="s">
        <v>1025</v>
      </c>
      <c r="D110" s="2">
        <v>13775086.5</v>
      </c>
    </row>
    <row r="111" spans="1:4">
      <c r="A111" t="s">
        <v>1026</v>
      </c>
      <c r="B111">
        <v>0</v>
      </c>
      <c r="C111" t="s">
        <v>1027</v>
      </c>
      <c r="D111" s="2">
        <v>137242051.50999999</v>
      </c>
    </row>
    <row r="112" spans="1:4">
      <c r="A112" t="s">
        <v>1028</v>
      </c>
      <c r="B112">
        <v>-9</v>
      </c>
      <c r="C112" t="s">
        <v>1029</v>
      </c>
      <c r="D112" s="2">
        <v>43848670.549999997</v>
      </c>
    </row>
    <row r="113" spans="1:4">
      <c r="A113" t="s">
        <v>1030</v>
      </c>
      <c r="B113">
        <v>-7</v>
      </c>
      <c r="C113" t="s">
        <v>1031</v>
      </c>
      <c r="D113" s="2">
        <v>33671.15</v>
      </c>
    </row>
    <row r="114" spans="1:4">
      <c r="A114" t="s">
        <v>1032</v>
      </c>
      <c r="B114">
        <v>-5</v>
      </c>
      <c r="C114" t="s">
        <v>1033</v>
      </c>
      <c r="D114" s="2">
        <v>1313609.95</v>
      </c>
    </row>
    <row r="115" spans="1:4">
      <c r="A115" t="s">
        <v>1034</v>
      </c>
      <c r="B115">
        <v>-1</v>
      </c>
      <c r="C115" t="s">
        <v>1035</v>
      </c>
      <c r="D115" s="2">
        <v>10080779.98</v>
      </c>
    </row>
    <row r="116" spans="1:4">
      <c r="A116" t="s">
        <v>1036</v>
      </c>
      <c r="B116">
        <v>0</v>
      </c>
      <c r="C116" t="s">
        <v>1037</v>
      </c>
      <c r="D116" s="2">
        <v>421748.44</v>
      </c>
    </row>
    <row r="117" spans="1:4">
      <c r="A117" t="s">
        <v>1038</v>
      </c>
      <c r="B117">
        <v>-8</v>
      </c>
      <c r="C117" t="s">
        <v>1039</v>
      </c>
      <c r="D117" s="2">
        <v>651422.4</v>
      </c>
    </row>
    <row r="118" spans="1:4">
      <c r="A118" t="s">
        <v>1040</v>
      </c>
      <c r="B118">
        <v>-6</v>
      </c>
      <c r="C118" t="s">
        <v>1041</v>
      </c>
      <c r="D118" s="2">
        <v>2075572.69</v>
      </c>
    </row>
    <row r="119" spans="1:4">
      <c r="A119" t="s">
        <v>51</v>
      </c>
      <c r="B119">
        <v>-6</v>
      </c>
      <c r="C119" t="s">
        <v>52</v>
      </c>
      <c r="D119" s="2">
        <v>14775312.08</v>
      </c>
    </row>
    <row r="120" spans="1:4">
      <c r="A120" t="s">
        <v>53</v>
      </c>
      <c r="B120">
        <v>0</v>
      </c>
      <c r="C120" t="s">
        <v>54</v>
      </c>
      <c r="D120" s="2">
        <v>25918.45</v>
      </c>
    </row>
    <row r="121" spans="1:4">
      <c r="A121" t="s">
        <v>55</v>
      </c>
      <c r="B121">
        <v>-1</v>
      </c>
      <c r="C121" t="s">
        <v>54</v>
      </c>
      <c r="D121" s="2">
        <v>25918.45</v>
      </c>
    </row>
    <row r="122" spans="1:4">
      <c r="A122" t="s">
        <v>56</v>
      </c>
      <c r="B122">
        <v>0</v>
      </c>
      <c r="C122" t="s">
        <v>802</v>
      </c>
      <c r="D122" s="2">
        <v>25918.45</v>
      </c>
    </row>
    <row r="123" spans="1:4">
      <c r="A123" t="s">
        <v>57</v>
      </c>
      <c r="B123">
        <v>-3</v>
      </c>
      <c r="C123" t="s">
        <v>58</v>
      </c>
      <c r="D123" s="2">
        <v>255681.24</v>
      </c>
    </row>
    <row r="124" spans="1:4">
      <c r="A124" t="s">
        <v>59</v>
      </c>
      <c r="B124">
        <v>-5</v>
      </c>
      <c r="C124" t="s">
        <v>58</v>
      </c>
      <c r="D124" s="2">
        <v>255681.24</v>
      </c>
    </row>
    <row r="125" spans="1:4">
      <c r="A125" t="s">
        <v>60</v>
      </c>
      <c r="B125">
        <v>-3</v>
      </c>
      <c r="C125" t="s">
        <v>58</v>
      </c>
      <c r="D125" s="2">
        <v>255681.24</v>
      </c>
    </row>
    <row r="126" spans="1:4">
      <c r="A126" t="s">
        <v>61</v>
      </c>
      <c r="B126">
        <v>-6</v>
      </c>
      <c r="C126" t="s">
        <v>62</v>
      </c>
      <c r="D126" s="2">
        <v>3062158.43</v>
      </c>
    </row>
    <row r="127" spans="1:4">
      <c r="A127" t="s">
        <v>63</v>
      </c>
      <c r="B127">
        <v>-3</v>
      </c>
      <c r="C127" t="s">
        <v>803</v>
      </c>
      <c r="D127" s="2">
        <v>3062158.43</v>
      </c>
    </row>
    <row r="128" spans="1:4">
      <c r="A128" t="s">
        <v>64</v>
      </c>
      <c r="B128">
        <v>-1</v>
      </c>
      <c r="C128" t="s">
        <v>804</v>
      </c>
      <c r="D128" s="2">
        <v>1891081.36</v>
      </c>
    </row>
    <row r="129" spans="1:4">
      <c r="A129" t="s">
        <v>65</v>
      </c>
      <c r="B129">
        <v>0</v>
      </c>
      <c r="C129" t="s">
        <v>805</v>
      </c>
      <c r="D129" s="2">
        <v>199366.42</v>
      </c>
    </row>
    <row r="130" spans="1:4">
      <c r="A130" t="s">
        <v>66</v>
      </c>
      <c r="B130">
        <v>-8</v>
      </c>
      <c r="C130" t="s">
        <v>806</v>
      </c>
      <c r="D130" s="2">
        <v>574947.17000000004</v>
      </c>
    </row>
    <row r="131" spans="1:4">
      <c r="A131" t="s">
        <v>67</v>
      </c>
      <c r="B131">
        <v>-4</v>
      </c>
      <c r="C131" t="s">
        <v>897</v>
      </c>
      <c r="D131" s="2">
        <v>147154.07</v>
      </c>
    </row>
    <row r="132" spans="1:4">
      <c r="A132" t="s">
        <v>68</v>
      </c>
      <c r="B132">
        <v>0</v>
      </c>
      <c r="C132" t="s">
        <v>807</v>
      </c>
      <c r="D132" s="2">
        <v>44904</v>
      </c>
    </row>
    <row r="133" spans="1:4">
      <c r="A133" t="s">
        <v>439</v>
      </c>
      <c r="B133">
        <v>0</v>
      </c>
      <c r="C133" t="s">
        <v>808</v>
      </c>
      <c r="D133" s="2">
        <v>37300.35</v>
      </c>
    </row>
    <row r="134" spans="1:4">
      <c r="A134" t="s">
        <v>441</v>
      </c>
      <c r="B134">
        <v>-9</v>
      </c>
      <c r="C134" t="s">
        <v>809</v>
      </c>
      <c r="D134" s="2">
        <v>9602.9599999999991</v>
      </c>
    </row>
    <row r="135" spans="1:4">
      <c r="A135" t="s">
        <v>443</v>
      </c>
      <c r="B135">
        <v>-7</v>
      </c>
      <c r="C135" t="s">
        <v>810</v>
      </c>
      <c r="D135" s="2">
        <v>29683.919999999998</v>
      </c>
    </row>
    <row r="136" spans="1:4">
      <c r="A136" t="s">
        <v>445</v>
      </c>
      <c r="B136">
        <v>-5</v>
      </c>
      <c r="C136" t="s">
        <v>811</v>
      </c>
      <c r="D136" s="2">
        <v>10414.31</v>
      </c>
    </row>
    <row r="137" spans="1:4">
      <c r="A137" t="s">
        <v>69</v>
      </c>
      <c r="B137">
        <v>-3</v>
      </c>
      <c r="C137" t="s">
        <v>812</v>
      </c>
      <c r="D137" s="2">
        <v>30852.19</v>
      </c>
    </row>
    <row r="138" spans="1:4">
      <c r="A138" t="s">
        <v>70</v>
      </c>
      <c r="B138">
        <v>-1</v>
      </c>
      <c r="C138" t="s">
        <v>949</v>
      </c>
      <c r="D138" s="2">
        <v>64239.23</v>
      </c>
    </row>
    <row r="139" spans="1:4">
      <c r="A139" t="s">
        <v>71</v>
      </c>
      <c r="B139">
        <v>0</v>
      </c>
      <c r="C139" t="s">
        <v>813</v>
      </c>
      <c r="D139" s="2">
        <v>22612.45</v>
      </c>
    </row>
    <row r="140" spans="1:4">
      <c r="A140" t="s">
        <v>72</v>
      </c>
      <c r="B140">
        <v>-8</v>
      </c>
      <c r="C140" t="s">
        <v>73</v>
      </c>
      <c r="D140" s="2">
        <v>107688.12</v>
      </c>
    </row>
    <row r="141" spans="1:4">
      <c r="A141" t="s">
        <v>74</v>
      </c>
      <c r="B141">
        <v>0</v>
      </c>
      <c r="C141" t="s">
        <v>814</v>
      </c>
      <c r="D141" s="2">
        <v>107688.12</v>
      </c>
    </row>
    <row r="142" spans="1:4">
      <c r="A142" t="s">
        <v>76</v>
      </c>
      <c r="B142">
        <v>-8</v>
      </c>
      <c r="C142" t="s">
        <v>815</v>
      </c>
      <c r="D142" s="2">
        <v>107688.12</v>
      </c>
    </row>
    <row r="143" spans="1:4">
      <c r="A143" t="s">
        <v>77</v>
      </c>
      <c r="B143">
        <v>-5</v>
      </c>
      <c r="C143" t="s">
        <v>78</v>
      </c>
      <c r="D143" s="2">
        <v>887727</v>
      </c>
    </row>
    <row r="144" spans="1:4">
      <c r="A144" t="s">
        <v>79</v>
      </c>
      <c r="B144">
        <v>-3</v>
      </c>
      <c r="C144" t="s">
        <v>1042</v>
      </c>
      <c r="D144" s="2">
        <v>887727</v>
      </c>
    </row>
    <row r="145" spans="1:4">
      <c r="A145" t="s">
        <v>80</v>
      </c>
      <c r="B145">
        <v>-1</v>
      </c>
      <c r="C145" t="s">
        <v>898</v>
      </c>
      <c r="D145" s="2">
        <v>19250.259999999998</v>
      </c>
    </row>
    <row r="146" spans="1:4">
      <c r="A146" t="s">
        <v>81</v>
      </c>
      <c r="B146">
        <v>-8</v>
      </c>
      <c r="C146" t="s">
        <v>816</v>
      </c>
      <c r="D146" s="2">
        <v>259438</v>
      </c>
    </row>
    <row r="147" spans="1:4">
      <c r="A147" t="s">
        <v>1043</v>
      </c>
      <c r="B147">
        <v>0</v>
      </c>
      <c r="C147" t="s">
        <v>1044</v>
      </c>
      <c r="D147" s="2">
        <v>1191.45</v>
      </c>
    </row>
    <row r="148" spans="1:4">
      <c r="A148" t="s">
        <v>899</v>
      </c>
      <c r="B148">
        <v>-9</v>
      </c>
      <c r="C148" t="s">
        <v>1045</v>
      </c>
      <c r="D148" s="2">
        <v>607847.29</v>
      </c>
    </row>
    <row r="149" spans="1:4">
      <c r="A149" t="s">
        <v>82</v>
      </c>
      <c r="B149">
        <v>-7</v>
      </c>
      <c r="C149" t="s">
        <v>83</v>
      </c>
      <c r="D149" s="2">
        <v>1905683.21</v>
      </c>
    </row>
    <row r="150" spans="1:4">
      <c r="A150" t="s">
        <v>84</v>
      </c>
      <c r="B150">
        <v>-5</v>
      </c>
      <c r="C150" t="s">
        <v>817</v>
      </c>
      <c r="D150" s="2">
        <v>306301.55</v>
      </c>
    </row>
    <row r="151" spans="1:4">
      <c r="A151" t="s">
        <v>85</v>
      </c>
      <c r="B151">
        <v>-3</v>
      </c>
      <c r="C151" t="s">
        <v>818</v>
      </c>
      <c r="D151" s="2">
        <v>286562.59000000003</v>
      </c>
    </row>
    <row r="152" spans="1:4">
      <c r="A152" t="s">
        <v>86</v>
      </c>
      <c r="B152">
        <v>-1</v>
      </c>
      <c r="C152" t="s">
        <v>819</v>
      </c>
      <c r="D152" s="2">
        <v>19738.96</v>
      </c>
    </row>
    <row r="153" spans="1:4">
      <c r="A153" t="s">
        <v>87</v>
      </c>
      <c r="B153">
        <v>-7</v>
      </c>
      <c r="C153" t="s">
        <v>820</v>
      </c>
      <c r="D153" s="2">
        <v>1013678.03</v>
      </c>
    </row>
    <row r="154" spans="1:4">
      <c r="A154" t="s">
        <v>88</v>
      </c>
      <c r="B154">
        <v>-5</v>
      </c>
      <c r="C154" t="s">
        <v>821</v>
      </c>
      <c r="D154" s="2">
        <v>1013678.03</v>
      </c>
    </row>
    <row r="155" spans="1:4">
      <c r="A155" t="s">
        <v>89</v>
      </c>
      <c r="B155">
        <v>-2</v>
      </c>
      <c r="C155" t="s">
        <v>822</v>
      </c>
      <c r="D155" s="2">
        <v>428604.79</v>
      </c>
    </row>
    <row r="156" spans="1:4">
      <c r="A156" t="s">
        <v>638</v>
      </c>
      <c r="B156">
        <v>0</v>
      </c>
      <c r="C156" t="s">
        <v>823</v>
      </c>
      <c r="D156" s="2">
        <v>404796.91</v>
      </c>
    </row>
    <row r="157" spans="1:4">
      <c r="A157" t="s">
        <v>90</v>
      </c>
      <c r="B157">
        <v>-9</v>
      </c>
      <c r="C157" t="s">
        <v>824</v>
      </c>
      <c r="D157" s="2">
        <v>23807.88</v>
      </c>
    </row>
    <row r="158" spans="1:4">
      <c r="A158" t="s">
        <v>91</v>
      </c>
      <c r="B158">
        <v>0</v>
      </c>
      <c r="C158" t="s">
        <v>825</v>
      </c>
      <c r="D158" s="2">
        <v>157098.84</v>
      </c>
    </row>
    <row r="159" spans="1:4">
      <c r="A159" t="s">
        <v>92</v>
      </c>
      <c r="B159">
        <v>-9</v>
      </c>
      <c r="C159" t="s">
        <v>826</v>
      </c>
      <c r="D159" s="2">
        <v>157098.84</v>
      </c>
    </row>
    <row r="160" spans="1:4">
      <c r="A160" t="s">
        <v>93</v>
      </c>
      <c r="B160">
        <v>0</v>
      </c>
      <c r="C160" t="s">
        <v>94</v>
      </c>
      <c r="D160" s="2">
        <v>3924615.52</v>
      </c>
    </row>
    <row r="161" spans="1:4">
      <c r="A161" t="s">
        <v>95</v>
      </c>
      <c r="B161">
        <v>-2</v>
      </c>
      <c r="C161" t="s">
        <v>94</v>
      </c>
      <c r="D161" s="2">
        <v>3924615.52</v>
      </c>
    </row>
    <row r="162" spans="1:4">
      <c r="A162" t="s">
        <v>96</v>
      </c>
      <c r="B162">
        <v>0</v>
      </c>
      <c r="C162" t="s">
        <v>827</v>
      </c>
      <c r="D162" s="2">
        <v>1074100</v>
      </c>
    </row>
    <row r="163" spans="1:4">
      <c r="A163" t="s">
        <v>97</v>
      </c>
      <c r="B163">
        <v>-9</v>
      </c>
      <c r="C163" t="s">
        <v>828</v>
      </c>
      <c r="D163" s="2">
        <v>1424834.65</v>
      </c>
    </row>
    <row r="164" spans="1:4">
      <c r="A164" t="s">
        <v>98</v>
      </c>
      <c r="B164">
        <v>-7</v>
      </c>
      <c r="C164" t="s">
        <v>901</v>
      </c>
      <c r="D164" s="2">
        <v>42742.81</v>
      </c>
    </row>
    <row r="165" spans="1:4">
      <c r="A165" t="s">
        <v>99</v>
      </c>
      <c r="B165">
        <v>-5</v>
      </c>
      <c r="C165" t="s">
        <v>902</v>
      </c>
      <c r="D165" s="2">
        <v>69735.78</v>
      </c>
    </row>
    <row r="166" spans="1:4">
      <c r="A166" t="s">
        <v>100</v>
      </c>
      <c r="B166">
        <v>-1</v>
      </c>
      <c r="C166" t="s">
        <v>829</v>
      </c>
      <c r="D166" s="2">
        <v>820586.71</v>
      </c>
    </row>
    <row r="167" spans="1:4">
      <c r="A167" t="s">
        <v>101</v>
      </c>
      <c r="B167">
        <v>-8</v>
      </c>
      <c r="C167" t="s">
        <v>830</v>
      </c>
      <c r="D167" s="2">
        <v>43236.51</v>
      </c>
    </row>
    <row r="168" spans="1:4">
      <c r="A168" t="s">
        <v>102</v>
      </c>
      <c r="B168">
        <v>-4</v>
      </c>
      <c r="C168" t="s">
        <v>831</v>
      </c>
      <c r="D168" s="2">
        <v>265394.40000000002</v>
      </c>
    </row>
    <row r="169" spans="1:4">
      <c r="A169" t="s">
        <v>103</v>
      </c>
      <c r="B169">
        <v>-2</v>
      </c>
      <c r="C169" t="s">
        <v>832</v>
      </c>
      <c r="D169" s="2">
        <v>35864.04</v>
      </c>
    </row>
    <row r="170" spans="1:4">
      <c r="A170" t="s">
        <v>104</v>
      </c>
      <c r="B170">
        <v>0</v>
      </c>
      <c r="C170" t="s">
        <v>903</v>
      </c>
      <c r="D170" s="2">
        <v>48254.87</v>
      </c>
    </row>
    <row r="171" spans="1:4">
      <c r="A171" t="s">
        <v>105</v>
      </c>
      <c r="B171">
        <v>-9</v>
      </c>
      <c r="C171" t="s">
        <v>904</v>
      </c>
      <c r="D171" s="2">
        <v>12.25</v>
      </c>
    </row>
    <row r="172" spans="1:4">
      <c r="A172" t="s">
        <v>476</v>
      </c>
      <c r="B172">
        <v>-1</v>
      </c>
      <c r="C172" t="s">
        <v>1046</v>
      </c>
      <c r="D172" s="2">
        <v>99853.5</v>
      </c>
    </row>
    <row r="173" spans="1:4">
      <c r="A173" t="s">
        <v>605</v>
      </c>
      <c r="B173">
        <v>-4</v>
      </c>
      <c r="C173" t="s">
        <v>950</v>
      </c>
      <c r="D173" s="2">
        <v>23428</v>
      </c>
    </row>
    <row r="174" spans="1:4">
      <c r="A174" t="s">
        <v>951</v>
      </c>
      <c r="B174">
        <v>0</v>
      </c>
      <c r="C174" t="s">
        <v>1047</v>
      </c>
      <c r="D174" s="2">
        <v>23428</v>
      </c>
    </row>
    <row r="175" spans="1:4">
      <c r="A175" t="s">
        <v>953</v>
      </c>
      <c r="B175">
        <v>0</v>
      </c>
      <c r="C175" t="s">
        <v>1048</v>
      </c>
      <c r="D175" s="2">
        <v>23428</v>
      </c>
    </row>
    <row r="176" spans="1:4">
      <c r="A176" t="s">
        <v>1049</v>
      </c>
      <c r="B176">
        <v>-7</v>
      </c>
      <c r="C176" t="s">
        <v>1050</v>
      </c>
      <c r="D176" s="2">
        <v>111766.69</v>
      </c>
    </row>
    <row r="177" spans="1:4">
      <c r="A177" t="s">
        <v>1051</v>
      </c>
      <c r="B177">
        <v>-9</v>
      </c>
      <c r="C177" t="s">
        <v>1052</v>
      </c>
      <c r="D177" s="2">
        <v>111766.69</v>
      </c>
    </row>
    <row r="178" spans="1:4">
      <c r="A178" t="s">
        <v>1053</v>
      </c>
      <c r="B178">
        <v>-7</v>
      </c>
      <c r="C178" t="s">
        <v>1052</v>
      </c>
      <c r="D178" s="2">
        <v>111766.69</v>
      </c>
    </row>
    <row r="179" spans="1:4">
      <c r="A179" t="s">
        <v>755</v>
      </c>
      <c r="B179">
        <v>-6</v>
      </c>
      <c r="C179" t="s">
        <v>833</v>
      </c>
      <c r="D179" s="2">
        <v>93620.64</v>
      </c>
    </row>
    <row r="180" spans="1:4">
      <c r="A180" t="s">
        <v>756</v>
      </c>
      <c r="B180">
        <v>-1</v>
      </c>
      <c r="C180" t="s">
        <v>833</v>
      </c>
      <c r="D180" s="2">
        <v>93620.64</v>
      </c>
    </row>
    <row r="181" spans="1:4">
      <c r="A181" t="s">
        <v>757</v>
      </c>
      <c r="B181">
        <v>0</v>
      </c>
      <c r="C181" t="s">
        <v>790</v>
      </c>
      <c r="D181" s="2">
        <v>93620.64</v>
      </c>
    </row>
    <row r="182" spans="1:4">
      <c r="A182" t="s">
        <v>106</v>
      </c>
      <c r="B182">
        <v>-8</v>
      </c>
      <c r="C182" t="s">
        <v>107</v>
      </c>
      <c r="D182" s="2">
        <v>35912.519999999997</v>
      </c>
    </row>
    <row r="183" spans="1:4">
      <c r="A183" t="s">
        <v>108</v>
      </c>
      <c r="B183">
        <v>0</v>
      </c>
      <c r="C183" t="s">
        <v>834</v>
      </c>
      <c r="D183" s="2">
        <v>35912.519999999997</v>
      </c>
    </row>
    <row r="184" spans="1:4">
      <c r="A184" t="s">
        <v>109</v>
      </c>
      <c r="B184">
        <v>-8</v>
      </c>
      <c r="C184" t="s">
        <v>835</v>
      </c>
      <c r="D184" s="2">
        <v>35912.519999999997</v>
      </c>
    </row>
    <row r="185" spans="1:4">
      <c r="A185" t="s">
        <v>110</v>
      </c>
      <c r="B185">
        <v>-1</v>
      </c>
      <c r="C185" t="s">
        <v>111</v>
      </c>
      <c r="D185" s="2">
        <v>4032176.79</v>
      </c>
    </row>
    <row r="186" spans="1:4">
      <c r="A186" t="s">
        <v>112</v>
      </c>
      <c r="B186">
        <v>-2</v>
      </c>
      <c r="C186" t="s">
        <v>1054</v>
      </c>
      <c r="D186" s="2">
        <v>4032176.79</v>
      </c>
    </row>
    <row r="187" spans="1:4">
      <c r="A187" t="s">
        <v>113</v>
      </c>
      <c r="B187">
        <v>0</v>
      </c>
      <c r="C187" t="s">
        <v>1055</v>
      </c>
      <c r="D187" s="2">
        <v>4032176.79</v>
      </c>
    </row>
    <row r="188" spans="1:4">
      <c r="A188" t="s">
        <v>114</v>
      </c>
      <c r="B188">
        <v>-9</v>
      </c>
      <c r="C188" t="s">
        <v>115</v>
      </c>
      <c r="D188" s="2">
        <v>348.56</v>
      </c>
    </row>
    <row r="189" spans="1:4">
      <c r="A189" t="s">
        <v>116</v>
      </c>
      <c r="B189">
        <v>0</v>
      </c>
      <c r="C189" t="s">
        <v>115</v>
      </c>
      <c r="D189" s="2">
        <v>348.56</v>
      </c>
    </row>
    <row r="190" spans="1:4">
      <c r="A190" t="s">
        <v>117</v>
      </c>
      <c r="B190">
        <v>-6</v>
      </c>
      <c r="C190" t="s">
        <v>679</v>
      </c>
      <c r="D190" s="2">
        <v>348.56</v>
      </c>
    </row>
    <row r="191" spans="1:4">
      <c r="A191" t="s">
        <v>118</v>
      </c>
      <c r="B191">
        <v>-4</v>
      </c>
      <c r="C191" t="s">
        <v>119</v>
      </c>
      <c r="D191" s="2">
        <v>53795.34</v>
      </c>
    </row>
    <row r="192" spans="1:4">
      <c r="A192" t="s">
        <v>120</v>
      </c>
      <c r="B192">
        <v>-5</v>
      </c>
      <c r="C192" t="s">
        <v>1056</v>
      </c>
      <c r="D192" s="2">
        <v>53795.34</v>
      </c>
    </row>
    <row r="193" spans="1:8">
      <c r="A193" t="s">
        <v>121</v>
      </c>
      <c r="B193">
        <v>-3</v>
      </c>
      <c r="C193" t="s">
        <v>1056</v>
      </c>
      <c r="D193" s="2">
        <v>53795.34</v>
      </c>
    </row>
    <row r="194" spans="1:8">
      <c r="A194" t="s">
        <v>122</v>
      </c>
      <c r="B194">
        <v>0</v>
      </c>
      <c r="C194" t="s">
        <v>123</v>
      </c>
      <c r="D194" s="2">
        <v>254791.57</v>
      </c>
    </row>
    <row r="195" spans="1:8">
      <c r="A195" t="s">
        <v>124</v>
      </c>
      <c r="B195">
        <v>-7</v>
      </c>
      <c r="C195" t="s">
        <v>836</v>
      </c>
      <c r="D195" s="2">
        <v>254791.57</v>
      </c>
      <c r="H195" t="s">
        <v>1123</v>
      </c>
    </row>
    <row r="196" spans="1:8">
      <c r="A196" t="s">
        <v>125</v>
      </c>
      <c r="B196">
        <v>-6</v>
      </c>
      <c r="C196" t="s">
        <v>1057</v>
      </c>
      <c r="D196" s="2">
        <v>254791.57</v>
      </c>
    </row>
    <row r="197" spans="1:8">
      <c r="A197" t="s">
        <v>126</v>
      </c>
      <c r="B197">
        <v>-4</v>
      </c>
      <c r="C197" t="s">
        <v>127</v>
      </c>
      <c r="D197" s="2">
        <v>34475887.07</v>
      </c>
    </row>
    <row r="198" spans="1:8">
      <c r="A198" t="s">
        <v>1058</v>
      </c>
      <c r="B198">
        <v>-5</v>
      </c>
      <c r="C198" t="s">
        <v>1059</v>
      </c>
      <c r="D198" s="2">
        <v>34475887.07</v>
      </c>
    </row>
    <row r="199" spans="1:8">
      <c r="A199" t="s">
        <v>1060</v>
      </c>
      <c r="B199">
        <v>-6</v>
      </c>
      <c r="C199" t="s">
        <v>1061</v>
      </c>
      <c r="D199" s="2">
        <v>34475887.07</v>
      </c>
    </row>
    <row r="200" spans="1:8">
      <c r="A200" t="s">
        <v>1062</v>
      </c>
      <c r="B200">
        <v>-3</v>
      </c>
      <c r="C200" t="s">
        <v>1063</v>
      </c>
      <c r="D200" s="2">
        <v>34475887.07</v>
      </c>
    </row>
    <row r="201" spans="1:8">
      <c r="A201" t="s">
        <v>337</v>
      </c>
      <c r="B201">
        <v>-2</v>
      </c>
      <c r="C201" t="s">
        <v>132</v>
      </c>
      <c r="D201" s="2">
        <v>8726030.5800000001</v>
      </c>
    </row>
    <row r="202" spans="1:8">
      <c r="A202" t="s">
        <v>133</v>
      </c>
      <c r="B202">
        <v>-3</v>
      </c>
      <c r="C202" t="s">
        <v>134</v>
      </c>
      <c r="D202" s="2">
        <v>4838077.95</v>
      </c>
    </row>
    <row r="203" spans="1:8">
      <c r="A203" t="s">
        <v>135</v>
      </c>
      <c r="B203">
        <v>-5</v>
      </c>
      <c r="C203" t="s">
        <v>134</v>
      </c>
      <c r="D203" s="2">
        <v>4838077.95</v>
      </c>
    </row>
    <row r="204" spans="1:8">
      <c r="A204" t="s">
        <v>136</v>
      </c>
      <c r="B204">
        <v>-3</v>
      </c>
      <c r="C204" t="s">
        <v>134</v>
      </c>
      <c r="D204" s="2">
        <v>4838077.95</v>
      </c>
    </row>
    <row r="205" spans="1:8">
      <c r="A205" t="s">
        <v>137</v>
      </c>
      <c r="B205">
        <v>-7</v>
      </c>
      <c r="C205" t="s">
        <v>138</v>
      </c>
      <c r="D205" s="2">
        <v>805739.05</v>
      </c>
    </row>
    <row r="206" spans="1:8">
      <c r="A206" t="s">
        <v>139</v>
      </c>
      <c r="B206">
        <v>-9</v>
      </c>
      <c r="C206" t="s">
        <v>138</v>
      </c>
      <c r="D206" s="2">
        <v>805739.05</v>
      </c>
    </row>
    <row r="207" spans="1:8">
      <c r="A207" t="s">
        <v>140</v>
      </c>
      <c r="B207">
        <v>-7</v>
      </c>
      <c r="C207" t="s">
        <v>837</v>
      </c>
      <c r="D207" s="2">
        <v>805739.05</v>
      </c>
    </row>
    <row r="208" spans="1:8">
      <c r="A208" t="s">
        <v>141</v>
      </c>
      <c r="B208">
        <v>-6</v>
      </c>
      <c r="C208" t="s">
        <v>132</v>
      </c>
      <c r="D208" s="2">
        <v>3082213.58</v>
      </c>
    </row>
    <row r="209" spans="1:4">
      <c r="A209" t="s">
        <v>142</v>
      </c>
      <c r="B209">
        <v>-3</v>
      </c>
      <c r="C209" t="s">
        <v>132</v>
      </c>
      <c r="D209" s="2">
        <v>3082213.58</v>
      </c>
    </row>
    <row r="210" spans="1:4">
      <c r="A210" t="s">
        <v>144</v>
      </c>
      <c r="B210">
        <v>-1</v>
      </c>
      <c r="C210" t="s">
        <v>838</v>
      </c>
      <c r="D210" s="2">
        <v>917.26</v>
      </c>
    </row>
    <row r="211" spans="1:4">
      <c r="A211" t="s">
        <v>502</v>
      </c>
      <c r="B211">
        <v>0</v>
      </c>
      <c r="C211" t="s">
        <v>1064</v>
      </c>
      <c r="D211" s="2">
        <v>7853.7</v>
      </c>
    </row>
    <row r="212" spans="1:4">
      <c r="A212" t="s">
        <v>338</v>
      </c>
      <c r="B212">
        <v>-8</v>
      </c>
      <c r="C212" t="s">
        <v>1065</v>
      </c>
      <c r="D212" s="2">
        <v>1984034.76</v>
      </c>
    </row>
    <row r="213" spans="1:4">
      <c r="A213" t="s">
        <v>145</v>
      </c>
      <c r="B213">
        <v>-6</v>
      </c>
      <c r="C213" t="s">
        <v>1066</v>
      </c>
      <c r="D213" s="2">
        <v>12897.18</v>
      </c>
    </row>
    <row r="214" spans="1:4">
      <c r="A214" t="s">
        <v>146</v>
      </c>
      <c r="B214">
        <v>-4</v>
      </c>
      <c r="C214" t="s">
        <v>839</v>
      </c>
      <c r="D214" s="2">
        <v>1076510.68</v>
      </c>
    </row>
    <row r="215" spans="1:4">
      <c r="A215" t="s">
        <v>147</v>
      </c>
      <c r="B215">
        <v>-7</v>
      </c>
      <c r="C215" t="s">
        <v>148</v>
      </c>
      <c r="D215" s="2">
        <v>32041959.66</v>
      </c>
    </row>
    <row r="216" spans="1:4">
      <c r="A216" t="s">
        <v>149</v>
      </c>
      <c r="B216">
        <v>0</v>
      </c>
      <c r="C216" t="s">
        <v>150</v>
      </c>
      <c r="D216" s="2">
        <v>31667586.23</v>
      </c>
    </row>
    <row r="217" spans="1:4">
      <c r="A217" t="s">
        <v>151</v>
      </c>
      <c r="B217">
        <v>-3</v>
      </c>
      <c r="C217" t="s">
        <v>150</v>
      </c>
      <c r="D217" s="2">
        <v>23278636.93</v>
      </c>
    </row>
    <row r="218" spans="1:4">
      <c r="A218" t="s">
        <v>341</v>
      </c>
      <c r="B218">
        <v>-5</v>
      </c>
      <c r="C218" t="s">
        <v>150</v>
      </c>
      <c r="D218" s="2">
        <v>23280172.079999998</v>
      </c>
    </row>
    <row r="219" spans="1:4">
      <c r="A219" t="s">
        <v>152</v>
      </c>
      <c r="B219">
        <v>-3</v>
      </c>
      <c r="C219" t="s">
        <v>150</v>
      </c>
      <c r="D219" s="2">
        <v>23280172.079999998</v>
      </c>
    </row>
    <row r="220" spans="1:4">
      <c r="A220" t="s">
        <v>153</v>
      </c>
      <c r="B220">
        <v>-6</v>
      </c>
      <c r="C220" t="s">
        <v>840</v>
      </c>
      <c r="D220" s="2">
        <v>-1535.15</v>
      </c>
    </row>
    <row r="221" spans="1:4">
      <c r="A221" t="s">
        <v>343</v>
      </c>
      <c r="B221">
        <v>-4</v>
      </c>
      <c r="C221" t="s">
        <v>841</v>
      </c>
      <c r="D221" s="2">
        <v>-1535.15</v>
      </c>
    </row>
    <row r="222" spans="1:4">
      <c r="A222" t="s">
        <v>154</v>
      </c>
      <c r="B222">
        <v>-7</v>
      </c>
      <c r="C222" t="s">
        <v>155</v>
      </c>
      <c r="D222" s="2">
        <v>8388949.3000000007</v>
      </c>
    </row>
    <row r="223" spans="1:4">
      <c r="A223" t="s">
        <v>342</v>
      </c>
      <c r="B223">
        <v>-9</v>
      </c>
      <c r="C223" t="s">
        <v>155</v>
      </c>
      <c r="D223" s="2">
        <v>8389501.9499999993</v>
      </c>
    </row>
    <row r="224" spans="1:4">
      <c r="A224" t="s">
        <v>156</v>
      </c>
      <c r="B224">
        <v>-7</v>
      </c>
      <c r="C224" t="s">
        <v>155</v>
      </c>
      <c r="D224" s="2">
        <v>8389501.9499999993</v>
      </c>
    </row>
    <row r="225" spans="1:4">
      <c r="A225" t="s">
        <v>157</v>
      </c>
      <c r="B225">
        <v>0</v>
      </c>
      <c r="C225" t="s">
        <v>842</v>
      </c>
      <c r="D225" s="2">
        <v>-552.65</v>
      </c>
    </row>
    <row r="226" spans="1:4">
      <c r="A226" t="s">
        <v>344</v>
      </c>
      <c r="B226">
        <v>-8</v>
      </c>
      <c r="C226" t="s">
        <v>843</v>
      </c>
      <c r="D226" s="2">
        <v>-552.65</v>
      </c>
    </row>
    <row r="227" spans="1:4">
      <c r="A227" t="s">
        <v>1067</v>
      </c>
      <c r="B227">
        <v>-4</v>
      </c>
      <c r="C227" t="s">
        <v>1068</v>
      </c>
      <c r="D227" s="2">
        <v>374373.43</v>
      </c>
    </row>
    <row r="228" spans="1:4">
      <c r="A228" t="s">
        <v>1069</v>
      </c>
      <c r="B228">
        <v>-8</v>
      </c>
      <c r="C228" t="s">
        <v>1068</v>
      </c>
      <c r="D228" s="2">
        <v>374373.43</v>
      </c>
    </row>
    <row r="229" spans="1:4">
      <c r="A229" t="s">
        <v>1070</v>
      </c>
      <c r="B229">
        <v>-3</v>
      </c>
      <c r="C229" t="s">
        <v>1068</v>
      </c>
      <c r="D229" s="2">
        <v>374373.43</v>
      </c>
    </row>
    <row r="230" spans="1:4">
      <c r="A230" t="s">
        <v>1071</v>
      </c>
      <c r="B230">
        <v>-9</v>
      </c>
      <c r="C230" t="s">
        <v>1072</v>
      </c>
      <c r="D230" s="2">
        <v>374373.43</v>
      </c>
    </row>
    <row r="231" spans="1:4">
      <c r="A231">
        <v>4</v>
      </c>
      <c r="B231">
        <v>-6</v>
      </c>
      <c r="C231" t="s">
        <v>346</v>
      </c>
      <c r="D231" s="2">
        <v>289788546.97000003</v>
      </c>
    </row>
    <row r="232" spans="1:4">
      <c r="A232" t="s">
        <v>158</v>
      </c>
      <c r="B232">
        <v>-1</v>
      </c>
      <c r="C232" t="s">
        <v>159</v>
      </c>
      <c r="D232" s="2">
        <v>289788546.97000003</v>
      </c>
    </row>
    <row r="233" spans="1:4">
      <c r="A233" t="s">
        <v>160</v>
      </c>
      <c r="B233">
        <v>-4</v>
      </c>
      <c r="C233" t="s">
        <v>161</v>
      </c>
      <c r="D233" s="2">
        <v>278598885.00999999</v>
      </c>
    </row>
    <row r="234" spans="1:4">
      <c r="A234" t="s">
        <v>324</v>
      </c>
      <c r="B234">
        <v>-8</v>
      </c>
      <c r="C234" t="s">
        <v>519</v>
      </c>
      <c r="D234" s="2">
        <v>15529826.710000001</v>
      </c>
    </row>
    <row r="235" spans="1:4">
      <c r="A235" t="s">
        <v>162</v>
      </c>
      <c r="B235">
        <v>0</v>
      </c>
      <c r="C235" t="s">
        <v>1073</v>
      </c>
      <c r="D235" s="2">
        <v>15529826.710000001</v>
      </c>
    </row>
    <row r="236" spans="1:4">
      <c r="A236" t="s">
        <v>301</v>
      </c>
      <c r="B236">
        <v>-8</v>
      </c>
      <c r="C236" t="s">
        <v>845</v>
      </c>
      <c r="D236" s="2">
        <v>15043056.390000001</v>
      </c>
    </row>
    <row r="237" spans="1:4">
      <c r="A237" t="s">
        <v>164</v>
      </c>
      <c r="B237">
        <v>-4</v>
      </c>
      <c r="C237" t="s">
        <v>847</v>
      </c>
      <c r="D237" s="2">
        <v>418292.25</v>
      </c>
    </row>
    <row r="238" spans="1:4">
      <c r="A238" t="s">
        <v>165</v>
      </c>
      <c r="B238">
        <v>-2</v>
      </c>
      <c r="C238" t="s">
        <v>848</v>
      </c>
      <c r="D238" s="2">
        <v>68478.070000000007</v>
      </c>
    </row>
    <row r="239" spans="1:4">
      <c r="A239" t="s">
        <v>525</v>
      </c>
      <c r="B239">
        <v>-1</v>
      </c>
      <c r="C239" t="s">
        <v>526</v>
      </c>
      <c r="D239" s="2">
        <v>77074.44</v>
      </c>
    </row>
    <row r="240" spans="1:4">
      <c r="A240" t="s">
        <v>527</v>
      </c>
      <c r="B240">
        <v>-9</v>
      </c>
      <c r="C240" t="s">
        <v>1074</v>
      </c>
      <c r="D240" s="2">
        <v>30184.83</v>
      </c>
    </row>
    <row r="241" spans="1:4">
      <c r="A241" t="s">
        <v>529</v>
      </c>
      <c r="B241">
        <v>-5</v>
      </c>
      <c r="C241" t="s">
        <v>850</v>
      </c>
      <c r="D241" s="2">
        <v>30184.83</v>
      </c>
    </row>
    <row r="242" spans="1:4">
      <c r="A242" t="s">
        <v>769</v>
      </c>
      <c r="B242">
        <v>0</v>
      </c>
      <c r="C242" t="s">
        <v>770</v>
      </c>
      <c r="D242" s="2">
        <v>46889.61</v>
      </c>
    </row>
    <row r="243" spans="1:4">
      <c r="A243" t="s">
        <v>771</v>
      </c>
      <c r="B243">
        <v>-9</v>
      </c>
      <c r="C243" t="s">
        <v>1075</v>
      </c>
      <c r="D243" s="2">
        <v>11436.49</v>
      </c>
    </row>
    <row r="244" spans="1:4">
      <c r="A244" t="s">
        <v>773</v>
      </c>
      <c r="B244">
        <v>-8</v>
      </c>
      <c r="C244" t="s">
        <v>1076</v>
      </c>
      <c r="D244" s="2">
        <v>7624.33</v>
      </c>
    </row>
    <row r="245" spans="1:4">
      <c r="A245" t="s">
        <v>775</v>
      </c>
      <c r="B245">
        <v>-6</v>
      </c>
      <c r="C245" t="s">
        <v>1077</v>
      </c>
      <c r="D245" s="2">
        <v>22872.98</v>
      </c>
    </row>
    <row r="246" spans="1:4">
      <c r="A246" t="s">
        <v>777</v>
      </c>
      <c r="B246">
        <v>-4</v>
      </c>
      <c r="C246" t="s">
        <v>1078</v>
      </c>
      <c r="D246" s="2">
        <v>4955.8100000000004</v>
      </c>
    </row>
    <row r="247" spans="1:4">
      <c r="A247" t="s">
        <v>326</v>
      </c>
      <c r="B247">
        <v>-5</v>
      </c>
      <c r="C247" t="s">
        <v>531</v>
      </c>
      <c r="D247" s="2">
        <v>262991983.86000001</v>
      </c>
    </row>
    <row r="248" spans="1:4">
      <c r="A248" t="s">
        <v>166</v>
      </c>
      <c r="B248">
        <v>-1</v>
      </c>
      <c r="C248" t="s">
        <v>167</v>
      </c>
      <c r="D248" s="2">
        <v>262991983.86000001</v>
      </c>
    </row>
    <row r="249" spans="1:4">
      <c r="A249" t="s">
        <v>168</v>
      </c>
      <c r="B249">
        <v>0</v>
      </c>
      <c r="C249" t="s">
        <v>909</v>
      </c>
      <c r="D249" s="2">
        <v>202334313.97999999</v>
      </c>
    </row>
    <row r="250" spans="1:4">
      <c r="A250" t="s">
        <v>169</v>
      </c>
      <c r="B250">
        <v>-8</v>
      </c>
      <c r="C250" t="s">
        <v>910</v>
      </c>
      <c r="D250" s="2">
        <v>60657669.880000003</v>
      </c>
    </row>
    <row r="251" spans="1:4">
      <c r="A251" t="s">
        <v>325</v>
      </c>
      <c r="B251">
        <v>-5</v>
      </c>
      <c r="C251" t="s">
        <v>170</v>
      </c>
      <c r="D251" s="2">
        <v>11189661.960000001</v>
      </c>
    </row>
    <row r="252" spans="1:4">
      <c r="A252" t="s">
        <v>171</v>
      </c>
      <c r="B252">
        <v>-6</v>
      </c>
      <c r="C252" t="s">
        <v>172</v>
      </c>
      <c r="D252" s="2">
        <v>786698.77</v>
      </c>
    </row>
    <row r="253" spans="1:4">
      <c r="A253" t="s">
        <v>173</v>
      </c>
      <c r="B253">
        <v>-8</v>
      </c>
      <c r="C253" t="s">
        <v>1079</v>
      </c>
      <c r="D253" s="2">
        <v>786698.77</v>
      </c>
    </row>
    <row r="254" spans="1:4">
      <c r="A254" t="s">
        <v>535</v>
      </c>
      <c r="B254">
        <v>-6</v>
      </c>
      <c r="C254" t="s">
        <v>852</v>
      </c>
      <c r="D254" s="2">
        <v>163934.32</v>
      </c>
    </row>
    <row r="255" spans="1:4">
      <c r="A255" t="s">
        <v>537</v>
      </c>
      <c r="B255">
        <v>-4</v>
      </c>
      <c r="C255" t="s">
        <v>853</v>
      </c>
      <c r="D255" s="2">
        <v>19346.46</v>
      </c>
    </row>
    <row r="256" spans="1:4">
      <c r="A256" t="s">
        <v>539</v>
      </c>
      <c r="B256">
        <v>-2</v>
      </c>
      <c r="C256" t="s">
        <v>854</v>
      </c>
      <c r="D256" s="2">
        <v>13477.59</v>
      </c>
    </row>
    <row r="257" spans="1:4">
      <c r="A257" t="s">
        <v>541</v>
      </c>
      <c r="B257">
        <v>0</v>
      </c>
      <c r="C257" t="s">
        <v>855</v>
      </c>
      <c r="D257" s="2">
        <v>33562.46</v>
      </c>
    </row>
    <row r="258" spans="1:4">
      <c r="A258" t="s">
        <v>174</v>
      </c>
      <c r="B258">
        <v>-9</v>
      </c>
      <c r="C258" t="s">
        <v>856</v>
      </c>
      <c r="D258" s="2">
        <v>387264.32</v>
      </c>
    </row>
    <row r="259" spans="1:4">
      <c r="A259" t="s">
        <v>175</v>
      </c>
      <c r="B259">
        <v>-7</v>
      </c>
      <c r="C259" t="s">
        <v>857</v>
      </c>
      <c r="D259" s="2">
        <v>126605.87</v>
      </c>
    </row>
    <row r="260" spans="1:4">
      <c r="A260" t="s">
        <v>176</v>
      </c>
      <c r="B260">
        <v>-5</v>
      </c>
      <c r="C260" t="s">
        <v>858</v>
      </c>
      <c r="D260" s="2">
        <v>42507.75</v>
      </c>
    </row>
    <row r="261" spans="1:4">
      <c r="A261" t="s">
        <v>546</v>
      </c>
      <c r="B261">
        <v>-7</v>
      </c>
      <c r="C261" t="s">
        <v>547</v>
      </c>
      <c r="D261" s="2">
        <v>7880643.2300000004</v>
      </c>
    </row>
    <row r="262" spans="1:4">
      <c r="A262" t="s">
        <v>1080</v>
      </c>
      <c r="B262">
        <v>-9</v>
      </c>
      <c r="C262" t="s">
        <v>1081</v>
      </c>
      <c r="D262" s="2">
        <v>7880643.2300000004</v>
      </c>
    </row>
    <row r="263" spans="1:4">
      <c r="A263" t="s">
        <v>1082</v>
      </c>
      <c r="B263">
        <v>-7</v>
      </c>
      <c r="C263" t="s">
        <v>1083</v>
      </c>
      <c r="D263" s="2">
        <v>7085620.2800000003</v>
      </c>
    </row>
    <row r="264" spans="1:4">
      <c r="A264" t="s">
        <v>1084</v>
      </c>
      <c r="B264">
        <v>-5</v>
      </c>
      <c r="C264" t="s">
        <v>1085</v>
      </c>
      <c r="D264" s="2">
        <v>795022.95</v>
      </c>
    </row>
    <row r="265" spans="1:4">
      <c r="A265" t="s">
        <v>177</v>
      </c>
      <c r="B265">
        <v>-7</v>
      </c>
      <c r="C265" t="s">
        <v>178</v>
      </c>
      <c r="D265" s="2">
        <v>2522319.96</v>
      </c>
    </row>
    <row r="266" spans="1:4">
      <c r="A266" t="s">
        <v>179</v>
      </c>
      <c r="B266">
        <v>0</v>
      </c>
      <c r="C266" t="s">
        <v>859</v>
      </c>
      <c r="D266" s="2">
        <v>2522319.96</v>
      </c>
    </row>
    <row r="267" spans="1:4">
      <c r="A267" t="s">
        <v>180</v>
      </c>
      <c r="B267">
        <v>-9</v>
      </c>
      <c r="C267" t="s">
        <v>860</v>
      </c>
      <c r="D267" s="2">
        <v>621187.51</v>
      </c>
    </row>
    <row r="268" spans="1:4">
      <c r="A268" t="s">
        <v>181</v>
      </c>
      <c r="B268">
        <v>-7</v>
      </c>
      <c r="C268" t="s">
        <v>861</v>
      </c>
      <c r="D268" s="2">
        <v>145021.51999999999</v>
      </c>
    </row>
    <row r="269" spans="1:4">
      <c r="A269" t="s">
        <v>182</v>
      </c>
      <c r="B269">
        <v>-5</v>
      </c>
      <c r="C269" t="s">
        <v>1086</v>
      </c>
      <c r="D269" s="2">
        <v>60825.33</v>
      </c>
    </row>
    <row r="270" spans="1:4">
      <c r="A270" t="s">
        <v>183</v>
      </c>
      <c r="B270">
        <v>-1</v>
      </c>
      <c r="C270" t="s">
        <v>1089</v>
      </c>
      <c r="D270" s="2">
        <v>1695285.6</v>
      </c>
    </row>
    <row r="271" spans="1:4">
      <c r="A271">
        <v>6</v>
      </c>
      <c r="B271">
        <v>-9</v>
      </c>
      <c r="C271" t="s">
        <v>184</v>
      </c>
      <c r="D271" s="2">
        <v>3483988453.98</v>
      </c>
    </row>
    <row r="272" spans="1:4">
      <c r="A272" t="s">
        <v>185</v>
      </c>
      <c r="B272">
        <v>-6</v>
      </c>
      <c r="C272" t="s">
        <v>184</v>
      </c>
      <c r="D272" s="2">
        <v>3483988453.98</v>
      </c>
    </row>
    <row r="273" spans="1:4">
      <c r="A273" t="s">
        <v>186</v>
      </c>
      <c r="B273">
        <v>-4</v>
      </c>
      <c r="C273" t="s">
        <v>187</v>
      </c>
      <c r="D273" s="2">
        <v>2903635696.5700002</v>
      </c>
    </row>
    <row r="274" spans="1:4">
      <c r="A274" t="s">
        <v>327</v>
      </c>
      <c r="B274">
        <v>-8</v>
      </c>
      <c r="C274" t="s">
        <v>188</v>
      </c>
      <c r="D274" s="2">
        <v>4000000000</v>
      </c>
    </row>
    <row r="275" spans="1:4">
      <c r="A275" t="s">
        <v>189</v>
      </c>
      <c r="B275">
        <v>-3</v>
      </c>
      <c r="C275" t="s">
        <v>190</v>
      </c>
      <c r="D275" s="2">
        <v>4000000000</v>
      </c>
    </row>
    <row r="276" spans="1:4">
      <c r="A276" t="s">
        <v>191</v>
      </c>
      <c r="B276">
        <v>-3</v>
      </c>
      <c r="C276" t="s">
        <v>188</v>
      </c>
      <c r="D276" s="2">
        <v>4000000000</v>
      </c>
    </row>
    <row r="277" spans="1:4">
      <c r="A277" t="s">
        <v>328</v>
      </c>
      <c r="B277">
        <v>-2</v>
      </c>
      <c r="C277" t="s">
        <v>192</v>
      </c>
      <c r="D277" s="2">
        <v>-1096364303.4300001</v>
      </c>
    </row>
    <row r="278" spans="1:4">
      <c r="A278" t="s">
        <v>193</v>
      </c>
      <c r="B278">
        <v>-8</v>
      </c>
      <c r="C278" t="s">
        <v>194</v>
      </c>
      <c r="D278" s="2">
        <v>-1096364303.4300001</v>
      </c>
    </row>
    <row r="279" spans="1:4">
      <c r="A279" t="s">
        <v>195</v>
      </c>
      <c r="B279">
        <v>-2</v>
      </c>
      <c r="C279" t="s">
        <v>912</v>
      </c>
      <c r="D279" s="2">
        <v>-1096364303.4300001</v>
      </c>
    </row>
    <row r="280" spans="1:4">
      <c r="A280" t="s">
        <v>330</v>
      </c>
      <c r="B280">
        <v>-7</v>
      </c>
      <c r="C280" t="s">
        <v>196</v>
      </c>
      <c r="D280" s="2">
        <v>108096367.13</v>
      </c>
    </row>
    <row r="281" spans="1:4">
      <c r="A281" t="s">
        <v>197</v>
      </c>
      <c r="B281">
        <v>0</v>
      </c>
      <c r="C281" t="s">
        <v>198</v>
      </c>
      <c r="D281" s="2">
        <v>108096367.13</v>
      </c>
    </row>
    <row r="282" spans="1:4">
      <c r="A282" t="s">
        <v>199</v>
      </c>
      <c r="B282">
        <v>-1</v>
      </c>
      <c r="C282" t="s">
        <v>198</v>
      </c>
      <c r="D282" s="2">
        <v>108096367.13</v>
      </c>
    </row>
    <row r="283" spans="1:4">
      <c r="A283" t="s">
        <v>200</v>
      </c>
      <c r="B283">
        <v>0</v>
      </c>
      <c r="C283" t="s">
        <v>198</v>
      </c>
      <c r="D283" s="2">
        <v>108096367.13</v>
      </c>
    </row>
    <row r="284" spans="1:4">
      <c r="A284" t="s">
        <v>329</v>
      </c>
      <c r="B284">
        <v>-5</v>
      </c>
      <c r="C284" t="s">
        <v>205</v>
      </c>
      <c r="D284" s="2">
        <v>383374915.06999999</v>
      </c>
    </row>
    <row r="285" spans="1:4">
      <c r="A285" t="s">
        <v>206</v>
      </c>
      <c r="B285">
        <v>-9</v>
      </c>
      <c r="C285" t="s">
        <v>207</v>
      </c>
      <c r="D285" s="2">
        <v>305225153</v>
      </c>
    </row>
    <row r="286" spans="1:4">
      <c r="A286" t="s">
        <v>208</v>
      </c>
      <c r="B286">
        <v>-4</v>
      </c>
      <c r="C286" t="s">
        <v>209</v>
      </c>
      <c r="D286" s="2">
        <v>392161098.97000003</v>
      </c>
    </row>
    <row r="287" spans="1:4">
      <c r="A287" t="s">
        <v>210</v>
      </c>
      <c r="B287">
        <v>-9</v>
      </c>
      <c r="C287" t="s">
        <v>914</v>
      </c>
      <c r="D287" s="2">
        <v>654747640</v>
      </c>
    </row>
    <row r="288" spans="1:4">
      <c r="A288" t="s">
        <v>211</v>
      </c>
      <c r="B288">
        <v>-7</v>
      </c>
      <c r="C288" t="s">
        <v>915</v>
      </c>
      <c r="D288" s="2">
        <v>-262586541.03</v>
      </c>
    </row>
    <row r="289" spans="1:4">
      <c r="A289" t="s">
        <v>213</v>
      </c>
      <c r="B289">
        <v>0</v>
      </c>
      <c r="C289" t="s">
        <v>864</v>
      </c>
      <c r="D289" s="2">
        <v>-86935945.969999999</v>
      </c>
    </row>
    <row r="290" spans="1:4">
      <c r="A290" t="s">
        <v>214</v>
      </c>
      <c r="B290">
        <v>-1</v>
      </c>
      <c r="C290" t="s">
        <v>865</v>
      </c>
      <c r="D290" s="2">
        <v>-86935945.969999999</v>
      </c>
    </row>
    <row r="291" spans="1:4">
      <c r="A291" t="s">
        <v>297</v>
      </c>
      <c r="B291">
        <v>-8</v>
      </c>
      <c r="C291" t="s">
        <v>298</v>
      </c>
      <c r="D291" s="2">
        <v>78149762.069999993</v>
      </c>
    </row>
    <row r="292" spans="1:4">
      <c r="A292" t="s">
        <v>299</v>
      </c>
      <c r="B292">
        <v>-9</v>
      </c>
      <c r="C292" t="s">
        <v>298</v>
      </c>
      <c r="D292" s="2">
        <v>64255432.509999998</v>
      </c>
    </row>
    <row r="293" spans="1:4">
      <c r="A293" t="s">
        <v>300</v>
      </c>
      <c r="B293">
        <v>-7</v>
      </c>
      <c r="C293" t="s">
        <v>1090</v>
      </c>
      <c r="D293" s="2">
        <v>64255432.509999998</v>
      </c>
    </row>
    <row r="294" spans="1:4">
      <c r="A294" t="s">
        <v>866</v>
      </c>
      <c r="B294">
        <v>-4</v>
      </c>
      <c r="C294" t="s">
        <v>867</v>
      </c>
      <c r="D294" s="2">
        <v>13894329.560000001</v>
      </c>
    </row>
    <row r="295" spans="1:4">
      <c r="A295" t="s">
        <v>868</v>
      </c>
      <c r="B295">
        <v>0</v>
      </c>
      <c r="C295" t="s">
        <v>869</v>
      </c>
      <c r="D295" s="2">
        <v>167259.56</v>
      </c>
    </row>
    <row r="296" spans="1:4">
      <c r="A296" t="s">
        <v>1091</v>
      </c>
      <c r="B296">
        <v>-9</v>
      </c>
      <c r="C296" t="s">
        <v>1092</v>
      </c>
      <c r="D296" s="2">
        <v>13727070</v>
      </c>
    </row>
    <row r="297" spans="1:4">
      <c r="A297" t="s">
        <v>680</v>
      </c>
      <c r="B297">
        <v>-1</v>
      </c>
      <c r="C297" t="s">
        <v>681</v>
      </c>
      <c r="D297" s="2">
        <v>88881475.209999993</v>
      </c>
    </row>
    <row r="298" spans="1:4">
      <c r="A298" t="s">
        <v>682</v>
      </c>
      <c r="B298">
        <v>-5</v>
      </c>
      <c r="C298" t="s">
        <v>681</v>
      </c>
      <c r="D298" s="2">
        <v>88881475.209999993</v>
      </c>
    </row>
    <row r="299" spans="1:4">
      <c r="A299" t="s">
        <v>683</v>
      </c>
      <c r="B299">
        <v>0</v>
      </c>
      <c r="C299" t="s">
        <v>681</v>
      </c>
      <c r="D299" s="2">
        <v>88881475.209999993</v>
      </c>
    </row>
    <row r="300" spans="1:4">
      <c r="A300" t="s">
        <v>684</v>
      </c>
      <c r="B300">
        <v>-5</v>
      </c>
      <c r="C300" t="s">
        <v>685</v>
      </c>
      <c r="D300" s="2">
        <v>88881475.209999993</v>
      </c>
    </row>
    <row r="301" spans="1:4">
      <c r="A301">
        <v>7</v>
      </c>
      <c r="B301">
        <v>-5</v>
      </c>
      <c r="C301" t="s">
        <v>215</v>
      </c>
      <c r="D301" s="2">
        <v>231487327.16999999</v>
      </c>
    </row>
    <row r="302" spans="1:4">
      <c r="A302" t="s">
        <v>216</v>
      </c>
      <c r="B302">
        <v>-2</v>
      </c>
      <c r="C302" t="s">
        <v>217</v>
      </c>
      <c r="D302" s="2">
        <v>231487327.16999999</v>
      </c>
    </row>
    <row r="303" spans="1:4">
      <c r="A303" t="s">
        <v>339</v>
      </c>
      <c r="B303">
        <v>-5</v>
      </c>
      <c r="C303" t="s">
        <v>218</v>
      </c>
      <c r="D303" s="2">
        <v>14465833.75</v>
      </c>
    </row>
    <row r="304" spans="1:4">
      <c r="A304" t="s">
        <v>219</v>
      </c>
      <c r="B304">
        <v>-9</v>
      </c>
      <c r="C304" t="s">
        <v>220</v>
      </c>
      <c r="D304" s="2">
        <v>14465833.75</v>
      </c>
    </row>
    <row r="305" spans="1:4">
      <c r="A305" t="s">
        <v>221</v>
      </c>
      <c r="B305">
        <v>0</v>
      </c>
      <c r="C305" t="s">
        <v>917</v>
      </c>
      <c r="D305" s="2">
        <v>14465833.75</v>
      </c>
    </row>
    <row r="306" spans="1:4">
      <c r="A306" t="s">
        <v>223</v>
      </c>
      <c r="B306">
        <v>-9</v>
      </c>
      <c r="C306" t="s">
        <v>918</v>
      </c>
      <c r="D306" s="2">
        <v>14465833.75</v>
      </c>
    </row>
    <row r="307" spans="1:4">
      <c r="A307" t="s">
        <v>340</v>
      </c>
      <c r="B307">
        <v>-3</v>
      </c>
      <c r="C307" t="s">
        <v>224</v>
      </c>
      <c r="D307" s="2">
        <v>110249938.95999999</v>
      </c>
    </row>
    <row r="308" spans="1:4">
      <c r="A308" t="s">
        <v>225</v>
      </c>
      <c r="B308">
        <v>-7</v>
      </c>
      <c r="C308" t="s">
        <v>226</v>
      </c>
      <c r="D308" s="2">
        <v>88211185.159999996</v>
      </c>
    </row>
    <row r="309" spans="1:4">
      <c r="A309" t="s">
        <v>227</v>
      </c>
      <c r="B309">
        <v>-5</v>
      </c>
      <c r="C309" t="s">
        <v>870</v>
      </c>
      <c r="D309" s="2">
        <v>88211185.159999996</v>
      </c>
    </row>
    <row r="310" spans="1:4">
      <c r="A310" t="s">
        <v>228</v>
      </c>
      <c r="B310">
        <v>-3</v>
      </c>
      <c r="C310" t="s">
        <v>871</v>
      </c>
      <c r="D310" s="2">
        <v>88211185.159999996</v>
      </c>
    </row>
    <row r="311" spans="1:4">
      <c r="A311" t="s">
        <v>567</v>
      </c>
      <c r="B311">
        <v>0</v>
      </c>
      <c r="C311" t="s">
        <v>568</v>
      </c>
      <c r="D311" s="2">
        <v>13192437.710000001</v>
      </c>
    </row>
    <row r="312" spans="1:4">
      <c r="A312" t="s">
        <v>569</v>
      </c>
      <c r="B312">
        <v>-9</v>
      </c>
      <c r="C312" t="s">
        <v>919</v>
      </c>
      <c r="D312" s="2">
        <v>13192437.710000001</v>
      </c>
    </row>
    <row r="313" spans="1:4">
      <c r="A313" t="s">
        <v>571</v>
      </c>
      <c r="B313">
        <v>-7</v>
      </c>
      <c r="C313" t="s">
        <v>572</v>
      </c>
      <c r="D313" s="2">
        <v>8875802.7699999996</v>
      </c>
    </row>
    <row r="314" spans="1:4">
      <c r="A314" t="s">
        <v>573</v>
      </c>
      <c r="B314">
        <v>-5</v>
      </c>
      <c r="C314" t="s">
        <v>574</v>
      </c>
      <c r="D314" s="2">
        <v>4316634.9400000004</v>
      </c>
    </row>
    <row r="315" spans="1:4">
      <c r="A315" t="s">
        <v>577</v>
      </c>
      <c r="B315">
        <v>-8</v>
      </c>
      <c r="C315" t="s">
        <v>578</v>
      </c>
      <c r="D315" s="2">
        <v>8846316.0899999999</v>
      </c>
    </row>
    <row r="316" spans="1:4">
      <c r="A316" t="s">
        <v>579</v>
      </c>
      <c r="B316">
        <v>-3</v>
      </c>
      <c r="C316" t="s">
        <v>580</v>
      </c>
      <c r="D316" s="2">
        <v>8846316.0899999999</v>
      </c>
    </row>
    <row r="317" spans="1:4">
      <c r="A317" t="s">
        <v>581</v>
      </c>
      <c r="B317">
        <v>-8</v>
      </c>
      <c r="C317" t="s">
        <v>1093</v>
      </c>
      <c r="D317" s="2">
        <v>8846316.0899999999</v>
      </c>
    </row>
    <row r="318" spans="1:4">
      <c r="A318" t="s">
        <v>332</v>
      </c>
      <c r="B318">
        <v>-8</v>
      </c>
      <c r="C318" t="s">
        <v>229</v>
      </c>
      <c r="D318" s="2">
        <v>105899634</v>
      </c>
    </row>
    <row r="319" spans="1:4">
      <c r="A319" t="s">
        <v>230</v>
      </c>
      <c r="B319">
        <v>-5</v>
      </c>
      <c r="C319" t="s">
        <v>231</v>
      </c>
      <c r="D319" s="2">
        <v>105899634</v>
      </c>
    </row>
    <row r="320" spans="1:4">
      <c r="A320" t="s">
        <v>232</v>
      </c>
      <c r="B320">
        <v>0</v>
      </c>
      <c r="C320" t="s">
        <v>231</v>
      </c>
      <c r="D320" s="2">
        <v>105899634</v>
      </c>
    </row>
    <row r="321" spans="1:4">
      <c r="A321" t="s">
        <v>234</v>
      </c>
      <c r="B321">
        <v>-2</v>
      </c>
      <c r="C321" t="s">
        <v>1094</v>
      </c>
      <c r="D321" s="2">
        <v>50520217.5</v>
      </c>
    </row>
    <row r="322" spans="1:4">
      <c r="A322" t="s">
        <v>1095</v>
      </c>
      <c r="B322">
        <v>0</v>
      </c>
      <c r="C322" t="s">
        <v>1096</v>
      </c>
      <c r="D322" s="2">
        <v>41516633.289999999</v>
      </c>
    </row>
    <row r="323" spans="1:4">
      <c r="A323" t="s">
        <v>1097</v>
      </c>
      <c r="B323">
        <v>-9</v>
      </c>
      <c r="C323" t="s">
        <v>1098</v>
      </c>
      <c r="D323" s="2">
        <v>787538.25</v>
      </c>
    </row>
    <row r="324" spans="1:4">
      <c r="A324" t="s">
        <v>1099</v>
      </c>
      <c r="B324">
        <v>-7</v>
      </c>
      <c r="C324" t="s">
        <v>1100</v>
      </c>
      <c r="D324" s="2">
        <v>293198.38</v>
      </c>
    </row>
    <row r="325" spans="1:4">
      <c r="A325" t="s">
        <v>1101</v>
      </c>
      <c r="B325">
        <v>-5</v>
      </c>
      <c r="C325" t="s">
        <v>1102</v>
      </c>
      <c r="D325" s="2">
        <v>7306543.3300000001</v>
      </c>
    </row>
    <row r="326" spans="1:4">
      <c r="A326" t="s">
        <v>1103</v>
      </c>
      <c r="B326">
        <v>-3</v>
      </c>
      <c r="C326" t="s">
        <v>1104</v>
      </c>
      <c r="D326" s="2">
        <v>33561.39</v>
      </c>
    </row>
    <row r="327" spans="1:4">
      <c r="A327" t="s">
        <v>1105</v>
      </c>
      <c r="B327">
        <v>-1</v>
      </c>
      <c r="C327" t="s">
        <v>1106</v>
      </c>
      <c r="D327" s="2">
        <v>2250134.12</v>
      </c>
    </row>
    <row r="328" spans="1:4">
      <c r="A328" t="s">
        <v>1107</v>
      </c>
      <c r="B328">
        <v>-6</v>
      </c>
      <c r="C328" t="s">
        <v>1108</v>
      </c>
      <c r="D328" s="2">
        <v>3191807.74</v>
      </c>
    </row>
    <row r="329" spans="1:4">
      <c r="A329" t="s">
        <v>335</v>
      </c>
      <c r="B329">
        <v>-6</v>
      </c>
      <c r="C329" t="s">
        <v>236</v>
      </c>
      <c r="D329" s="2">
        <v>871920.46</v>
      </c>
    </row>
    <row r="330" spans="1:4">
      <c r="A330" t="s">
        <v>237</v>
      </c>
      <c r="B330">
        <v>0</v>
      </c>
      <c r="C330" t="s">
        <v>238</v>
      </c>
      <c r="D330" s="2">
        <v>871920.46</v>
      </c>
    </row>
    <row r="331" spans="1:4">
      <c r="A331" t="s">
        <v>336</v>
      </c>
      <c r="B331">
        <v>-9</v>
      </c>
      <c r="C331" t="s">
        <v>1109</v>
      </c>
      <c r="D331" s="2">
        <v>394540.74</v>
      </c>
    </row>
    <row r="332" spans="1:4">
      <c r="A332" t="s">
        <v>333</v>
      </c>
      <c r="B332">
        <v>-1</v>
      </c>
      <c r="C332" t="s">
        <v>1110</v>
      </c>
      <c r="D332" s="2">
        <v>394540.74</v>
      </c>
    </row>
    <row r="333" spans="1:4">
      <c r="A333" t="s">
        <v>241</v>
      </c>
      <c r="B333">
        <v>-9</v>
      </c>
      <c r="C333" t="s">
        <v>587</v>
      </c>
      <c r="D333" s="2">
        <v>477379.72</v>
      </c>
    </row>
    <row r="334" spans="1:4">
      <c r="A334" t="s">
        <v>588</v>
      </c>
      <c r="B334">
        <v>-1</v>
      </c>
      <c r="C334" t="s">
        <v>1111</v>
      </c>
      <c r="D334">
        <v>516.62</v>
      </c>
    </row>
    <row r="335" spans="1:4">
      <c r="A335" t="s">
        <v>920</v>
      </c>
      <c r="B335">
        <v>0</v>
      </c>
      <c r="C335" t="s">
        <v>1112</v>
      </c>
      <c r="D335" s="2">
        <v>476863.1</v>
      </c>
    </row>
    <row r="336" spans="1:4">
      <c r="A336">
        <v>9</v>
      </c>
      <c r="B336">
        <v>-8</v>
      </c>
      <c r="C336" t="s">
        <v>626</v>
      </c>
      <c r="D336" s="2">
        <v>114218157.56</v>
      </c>
    </row>
    <row r="337" spans="1:4">
      <c r="A337" t="s">
        <v>640</v>
      </c>
      <c r="B337">
        <v>-8</v>
      </c>
      <c r="C337" t="s">
        <v>626</v>
      </c>
      <c r="D337" s="2">
        <v>114218157.56</v>
      </c>
    </row>
    <row r="338" spans="1:4">
      <c r="A338" t="s">
        <v>641</v>
      </c>
      <c r="B338">
        <v>-1</v>
      </c>
      <c r="C338" t="s">
        <v>629</v>
      </c>
      <c r="D338" s="2">
        <v>114218157.56</v>
      </c>
    </row>
    <row r="339" spans="1:4">
      <c r="A339" t="s">
        <v>642</v>
      </c>
      <c r="B339">
        <v>-5</v>
      </c>
      <c r="C339" t="s">
        <v>643</v>
      </c>
      <c r="D339" s="2">
        <v>114218157.56</v>
      </c>
    </row>
    <row r="340" spans="1:4">
      <c r="A340" t="s">
        <v>644</v>
      </c>
      <c r="B340">
        <v>-1</v>
      </c>
      <c r="C340" t="s">
        <v>645</v>
      </c>
      <c r="D340" s="2">
        <v>114218157.56</v>
      </c>
    </row>
    <row r="341" spans="1:4">
      <c r="A341" t="s">
        <v>646</v>
      </c>
      <c r="B341">
        <v>-6</v>
      </c>
      <c r="C341" t="s">
        <v>647</v>
      </c>
      <c r="D341" s="2">
        <v>42865000</v>
      </c>
    </row>
    <row r="342" spans="1:4">
      <c r="A342" t="s">
        <v>648</v>
      </c>
      <c r="B342">
        <v>-4</v>
      </c>
      <c r="C342" t="s">
        <v>649</v>
      </c>
      <c r="D342" s="2">
        <v>71353157.560000002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/>
  <dimension ref="A1:D341"/>
  <sheetViews>
    <sheetView workbookViewId="0">
      <selection activeCell="A169" sqref="A169:A334"/>
    </sheetView>
  </sheetViews>
  <sheetFormatPr defaultRowHeight="12.75"/>
  <cols>
    <col min="2" max="2" width="2.140625" bestFit="1" customWidth="1"/>
    <col min="3" max="3" width="69.85546875" bestFit="1" customWidth="1"/>
    <col min="4" max="4" width="20.7109375" bestFit="1" customWidth="1"/>
  </cols>
  <sheetData>
    <row r="1" spans="1:4" ht="13.5">
      <c r="A1" s="176" t="s">
        <v>1152</v>
      </c>
      <c r="B1" s="177">
        <v>7</v>
      </c>
      <c r="C1" s="178" t="s">
        <v>346</v>
      </c>
      <c r="D1" s="179">
        <v>1643973613.3800001</v>
      </c>
    </row>
    <row r="2" spans="1:4" ht="13.5">
      <c r="A2" s="176" t="s">
        <v>315</v>
      </c>
      <c r="B2" s="177">
        <v>4</v>
      </c>
      <c r="C2" s="180" t="s">
        <v>347</v>
      </c>
      <c r="D2" s="179">
        <v>1276.81</v>
      </c>
    </row>
    <row r="3" spans="1:4" ht="13.5">
      <c r="A3" s="176" t="s">
        <v>348</v>
      </c>
      <c r="B3" s="177">
        <v>2</v>
      </c>
      <c r="C3" s="181" t="s">
        <v>349</v>
      </c>
      <c r="D3" s="179">
        <v>1224.83</v>
      </c>
    </row>
    <row r="4" spans="1:4" ht="13.5">
      <c r="A4" s="176" t="s">
        <v>350</v>
      </c>
      <c r="B4" s="177">
        <v>0</v>
      </c>
      <c r="C4" s="182" t="s">
        <v>349</v>
      </c>
      <c r="D4" s="179">
        <v>1224.83</v>
      </c>
    </row>
    <row r="5" spans="1:4" ht="13.5">
      <c r="A5" s="176" t="s">
        <v>352</v>
      </c>
      <c r="B5" s="177">
        <v>5</v>
      </c>
      <c r="C5" s="183" t="s">
        <v>349</v>
      </c>
      <c r="D5" s="179">
        <v>1224.83</v>
      </c>
    </row>
    <row r="6" spans="1:4" ht="13.5">
      <c r="A6" s="176" t="s">
        <v>353</v>
      </c>
      <c r="B6" s="177">
        <v>3</v>
      </c>
      <c r="C6" s="184" t="s">
        <v>349</v>
      </c>
      <c r="D6" s="179">
        <v>1224.83</v>
      </c>
    </row>
    <row r="7" spans="1:4" ht="13.5">
      <c r="A7" s="176" t="s">
        <v>354</v>
      </c>
      <c r="B7" s="177">
        <v>0</v>
      </c>
      <c r="C7" s="181" t="s">
        <v>355</v>
      </c>
      <c r="D7" s="179">
        <v>51.98</v>
      </c>
    </row>
    <row r="8" spans="1:4" ht="13.5">
      <c r="A8" s="176" t="s">
        <v>356</v>
      </c>
      <c r="B8" s="177">
        <v>2</v>
      </c>
      <c r="C8" s="182" t="s">
        <v>355</v>
      </c>
      <c r="D8" s="179">
        <v>51.98</v>
      </c>
    </row>
    <row r="9" spans="1:4" ht="13.5">
      <c r="A9" s="176" t="s">
        <v>357</v>
      </c>
      <c r="B9" s="177">
        <v>8</v>
      </c>
      <c r="C9" s="183" t="s">
        <v>355</v>
      </c>
      <c r="D9" s="179">
        <v>51.98</v>
      </c>
    </row>
    <row r="10" spans="1:4" ht="13.5">
      <c r="A10" s="176" t="s">
        <v>358</v>
      </c>
      <c r="B10" s="177">
        <v>6</v>
      </c>
      <c r="C10" s="184" t="s">
        <v>355</v>
      </c>
      <c r="D10" s="179">
        <v>51.98</v>
      </c>
    </row>
    <row r="11" spans="1:4" ht="13.5">
      <c r="A11" s="176" t="s">
        <v>365</v>
      </c>
      <c r="B11" s="177">
        <v>9</v>
      </c>
      <c r="C11" s="180" t="s">
        <v>366</v>
      </c>
      <c r="D11" s="179">
        <v>1631349949.5799999</v>
      </c>
    </row>
    <row r="12" spans="1:4" ht="13.5">
      <c r="A12" s="176" t="s">
        <v>367</v>
      </c>
      <c r="B12" s="177">
        <v>7</v>
      </c>
      <c r="C12" s="181" t="s">
        <v>368</v>
      </c>
      <c r="D12" s="179">
        <v>1631349949.5799999</v>
      </c>
    </row>
    <row r="13" spans="1:4" ht="13.5">
      <c r="A13" s="176" t="s">
        <v>318</v>
      </c>
      <c r="B13" s="177">
        <v>0</v>
      </c>
      <c r="C13" s="182" t="s">
        <v>0</v>
      </c>
      <c r="D13" s="179">
        <v>636815833.82000005</v>
      </c>
    </row>
    <row r="14" spans="1:4" ht="13.5">
      <c r="A14" s="176" t="s">
        <v>1</v>
      </c>
      <c r="B14" s="177">
        <v>7</v>
      </c>
      <c r="C14" s="183" t="s">
        <v>2</v>
      </c>
      <c r="D14" s="179">
        <v>636815833.82000005</v>
      </c>
    </row>
    <row r="15" spans="1:4" ht="13.5">
      <c r="A15" s="176" t="s">
        <v>3</v>
      </c>
      <c r="B15" s="177">
        <v>5</v>
      </c>
      <c r="C15" s="184" t="s">
        <v>796</v>
      </c>
      <c r="D15" s="179">
        <v>636815833.82000005</v>
      </c>
    </row>
    <row r="16" spans="1:4" ht="13.5">
      <c r="A16" s="176" t="s">
        <v>377</v>
      </c>
      <c r="B16" s="177">
        <v>3</v>
      </c>
      <c r="C16" s="182" t="s">
        <v>378</v>
      </c>
      <c r="D16" s="179">
        <v>265332501.36000001</v>
      </c>
    </row>
    <row r="17" spans="1:4" ht="13.5">
      <c r="A17" s="176" t="s">
        <v>379</v>
      </c>
      <c r="B17" s="177">
        <v>6</v>
      </c>
      <c r="C17" s="183" t="s">
        <v>380</v>
      </c>
      <c r="D17" s="179">
        <v>265332501.36000001</v>
      </c>
    </row>
    <row r="18" spans="1:4" ht="13.5">
      <c r="A18" s="176" t="s">
        <v>381</v>
      </c>
      <c r="B18" s="177">
        <v>4</v>
      </c>
      <c r="C18" s="184" t="s">
        <v>880</v>
      </c>
      <c r="D18" s="179">
        <v>265332501.36000001</v>
      </c>
    </row>
    <row r="19" spans="1:4" ht="13.5">
      <c r="A19" s="176" t="s">
        <v>317</v>
      </c>
      <c r="B19" s="177">
        <v>4</v>
      </c>
      <c r="C19" s="182" t="s">
        <v>4</v>
      </c>
      <c r="D19" s="179">
        <v>729201614.39999998</v>
      </c>
    </row>
    <row r="20" spans="1:4" ht="13.5">
      <c r="A20" s="176" t="s">
        <v>5</v>
      </c>
      <c r="B20" s="177">
        <v>0</v>
      </c>
      <c r="C20" s="183" t="s">
        <v>6</v>
      </c>
      <c r="D20" s="179">
        <v>729201614.39999998</v>
      </c>
    </row>
    <row r="21" spans="1:4" ht="13.5">
      <c r="A21" s="176" t="s">
        <v>7</v>
      </c>
      <c r="B21" s="177">
        <v>7</v>
      </c>
      <c r="C21" s="184" t="s">
        <v>881</v>
      </c>
      <c r="D21" s="179">
        <v>729201614.39999998</v>
      </c>
    </row>
    <row r="22" spans="1:4" ht="13.5">
      <c r="A22" s="176" t="s">
        <v>12</v>
      </c>
      <c r="B22" s="177">
        <v>5</v>
      </c>
      <c r="C22" s="180" t="s">
        <v>13</v>
      </c>
      <c r="D22" s="179">
        <v>12622386.99</v>
      </c>
    </row>
    <row r="23" spans="1:4" ht="13.5">
      <c r="A23" s="176" t="s">
        <v>319</v>
      </c>
      <c r="B23" s="177">
        <v>0</v>
      </c>
      <c r="C23" s="181" t="s">
        <v>14</v>
      </c>
      <c r="D23" s="179">
        <v>4540056.0199999996</v>
      </c>
    </row>
    <row r="24" spans="1:4" ht="13.5">
      <c r="A24" s="176" t="s">
        <v>15</v>
      </c>
      <c r="B24" s="177">
        <v>1</v>
      </c>
      <c r="C24" s="182" t="s">
        <v>16</v>
      </c>
      <c r="D24" s="179">
        <v>4540056.0199999996</v>
      </c>
    </row>
    <row r="25" spans="1:4" ht="13.5">
      <c r="A25" s="176" t="s">
        <v>17</v>
      </c>
      <c r="B25" s="177">
        <v>3</v>
      </c>
      <c r="C25" s="183" t="s">
        <v>1014</v>
      </c>
      <c r="D25" s="179">
        <v>4540056.0199999996</v>
      </c>
    </row>
    <row r="26" spans="1:4" ht="13.5">
      <c r="A26" s="176" t="s">
        <v>18</v>
      </c>
      <c r="B26" s="177">
        <v>1</v>
      </c>
      <c r="C26" s="184" t="s">
        <v>798</v>
      </c>
      <c r="D26" s="179">
        <v>3463850.11</v>
      </c>
    </row>
    <row r="27" spans="1:4" ht="13.5">
      <c r="A27" s="176" t="s">
        <v>19</v>
      </c>
      <c r="B27" s="177">
        <v>0</v>
      </c>
      <c r="C27" s="184" t="s">
        <v>799</v>
      </c>
      <c r="D27" s="179">
        <v>1076205.9099999999</v>
      </c>
    </row>
    <row r="28" spans="1:4" ht="13.5">
      <c r="A28" s="176" t="s">
        <v>320</v>
      </c>
      <c r="B28" s="177">
        <v>0</v>
      </c>
      <c r="C28" s="181" t="s">
        <v>20</v>
      </c>
      <c r="D28" s="179">
        <v>8082330.9699999997</v>
      </c>
    </row>
    <row r="29" spans="1:4" ht="13.5">
      <c r="A29" s="176" t="s">
        <v>21</v>
      </c>
      <c r="B29" s="177">
        <v>0</v>
      </c>
      <c r="C29" s="182" t="s">
        <v>22</v>
      </c>
      <c r="D29" s="179">
        <v>56518.01</v>
      </c>
    </row>
    <row r="30" spans="1:4" ht="13.5">
      <c r="A30" s="176" t="s">
        <v>23</v>
      </c>
      <c r="B30" s="177">
        <v>4</v>
      </c>
      <c r="C30" s="183" t="s">
        <v>969</v>
      </c>
      <c r="D30" s="179">
        <v>56518.01</v>
      </c>
    </row>
    <row r="31" spans="1:4" ht="13.5">
      <c r="A31" s="176" t="s">
        <v>24</v>
      </c>
      <c r="B31" s="177">
        <v>2</v>
      </c>
      <c r="C31" s="184" t="s">
        <v>800</v>
      </c>
      <c r="D31" s="179">
        <v>41557.360000000001</v>
      </c>
    </row>
    <row r="32" spans="1:4" ht="13.5">
      <c r="A32" s="176" t="s">
        <v>25</v>
      </c>
      <c r="B32" s="177">
        <v>0</v>
      </c>
      <c r="C32" s="184" t="s">
        <v>801</v>
      </c>
      <c r="D32" s="179">
        <v>14960.65</v>
      </c>
    </row>
    <row r="33" spans="1:4" ht="13.5">
      <c r="A33" s="176" t="s">
        <v>26</v>
      </c>
      <c r="B33" s="177">
        <v>8</v>
      </c>
      <c r="C33" s="182" t="s">
        <v>27</v>
      </c>
      <c r="D33" s="179">
        <v>1237720.21</v>
      </c>
    </row>
    <row r="34" spans="1:4" ht="13.5">
      <c r="A34" s="176" t="s">
        <v>390</v>
      </c>
      <c r="B34" s="177">
        <v>0</v>
      </c>
      <c r="C34" s="183" t="s">
        <v>942</v>
      </c>
      <c r="D34" s="179">
        <v>1184175.73</v>
      </c>
    </row>
    <row r="35" spans="1:4" ht="13.5">
      <c r="A35" s="176" t="s">
        <v>396</v>
      </c>
      <c r="B35" s="177">
        <v>2</v>
      </c>
      <c r="C35" s="184" t="s">
        <v>945</v>
      </c>
      <c r="D35" s="179">
        <v>1184175.73</v>
      </c>
    </row>
    <row r="36" spans="1:4" ht="13.5">
      <c r="A36" s="176" t="s">
        <v>676</v>
      </c>
      <c r="B36" s="177">
        <v>5</v>
      </c>
      <c r="C36" s="183" t="s">
        <v>1015</v>
      </c>
      <c r="D36" s="179">
        <v>53544.480000000003</v>
      </c>
    </row>
    <row r="37" spans="1:4" ht="13.5">
      <c r="A37" s="176" t="s">
        <v>677</v>
      </c>
      <c r="B37" s="177">
        <v>3</v>
      </c>
      <c r="C37" s="184" t="s">
        <v>882</v>
      </c>
      <c r="D37" s="179">
        <v>53544.480000000003</v>
      </c>
    </row>
    <row r="38" spans="1:4" ht="13.5">
      <c r="A38" s="176" t="s">
        <v>883</v>
      </c>
      <c r="B38" s="177">
        <v>2</v>
      </c>
      <c r="C38" s="182" t="s">
        <v>884</v>
      </c>
      <c r="D38" s="179">
        <v>4264787.8600000003</v>
      </c>
    </row>
    <row r="39" spans="1:4" ht="13.5">
      <c r="A39" s="176" t="s">
        <v>885</v>
      </c>
      <c r="B39" s="177">
        <v>8</v>
      </c>
      <c r="C39" s="183" t="s">
        <v>886</v>
      </c>
      <c r="D39" s="179">
        <v>4264787.8600000003</v>
      </c>
    </row>
    <row r="40" spans="1:4" ht="13.5">
      <c r="A40" s="176" t="s">
        <v>887</v>
      </c>
      <c r="B40" s="177">
        <v>2</v>
      </c>
      <c r="C40" s="184" t="s">
        <v>888</v>
      </c>
      <c r="D40" s="179">
        <v>4264787.8600000003</v>
      </c>
    </row>
    <row r="41" spans="1:4" ht="13.5">
      <c r="A41" s="176" t="s">
        <v>302</v>
      </c>
      <c r="B41" s="177">
        <v>2</v>
      </c>
      <c r="C41" s="182" t="s">
        <v>303</v>
      </c>
      <c r="D41" s="179">
        <v>2523304.89</v>
      </c>
    </row>
    <row r="42" spans="1:4" ht="13.5">
      <c r="A42" s="176" t="s">
        <v>304</v>
      </c>
      <c r="B42" s="177">
        <v>7</v>
      </c>
      <c r="C42" s="183" t="s">
        <v>303</v>
      </c>
      <c r="D42" s="179">
        <v>2523304.89</v>
      </c>
    </row>
    <row r="43" spans="1:4" ht="13.5">
      <c r="A43" s="176" t="s">
        <v>305</v>
      </c>
      <c r="B43" s="177">
        <v>4</v>
      </c>
      <c r="C43" s="184" t="s">
        <v>889</v>
      </c>
      <c r="D43" s="179">
        <v>2523304.89</v>
      </c>
    </row>
    <row r="44" spans="1:4" ht="13.5">
      <c r="A44" s="176" t="s">
        <v>1153</v>
      </c>
      <c r="B44" s="177">
        <v>3</v>
      </c>
      <c r="C44" s="178" t="s">
        <v>1154</v>
      </c>
      <c r="D44" s="179">
        <v>2086979300.5899999</v>
      </c>
    </row>
    <row r="45" spans="1:4" ht="13.5">
      <c r="A45" s="176" t="s">
        <v>321</v>
      </c>
      <c r="B45" s="177">
        <v>0</v>
      </c>
      <c r="C45" s="180" t="s">
        <v>28</v>
      </c>
      <c r="D45" s="179">
        <v>2086979300.5899999</v>
      </c>
    </row>
    <row r="46" spans="1:4" ht="13.5">
      <c r="A46" s="176" t="s">
        <v>29</v>
      </c>
      <c r="B46" s="177">
        <v>7</v>
      </c>
      <c r="C46" s="181" t="s">
        <v>30</v>
      </c>
      <c r="D46" s="179">
        <v>2086979300.5899999</v>
      </c>
    </row>
    <row r="47" spans="1:4" ht="13.5">
      <c r="A47" s="176" t="s">
        <v>31</v>
      </c>
      <c r="B47" s="177">
        <v>0</v>
      </c>
      <c r="C47" s="182" t="s">
        <v>32</v>
      </c>
      <c r="D47" s="179">
        <v>2159361764.6300001</v>
      </c>
    </row>
    <row r="48" spans="1:4" ht="13.5">
      <c r="A48" s="176" t="s">
        <v>268</v>
      </c>
      <c r="B48" s="177">
        <v>2</v>
      </c>
      <c r="C48" s="183" t="s">
        <v>399</v>
      </c>
      <c r="D48" s="179">
        <v>1556020603.6099999</v>
      </c>
    </row>
    <row r="49" spans="1:4" ht="13.5">
      <c r="A49" s="176" t="s">
        <v>269</v>
      </c>
      <c r="B49" s="177">
        <v>0</v>
      </c>
      <c r="C49" s="184" t="s">
        <v>1016</v>
      </c>
      <c r="D49" s="179">
        <v>1556973242.8</v>
      </c>
    </row>
    <row r="50" spans="1:4" ht="13.5">
      <c r="A50" s="176" t="s">
        <v>654</v>
      </c>
      <c r="B50" s="177">
        <v>9</v>
      </c>
      <c r="C50" s="184" t="s">
        <v>655</v>
      </c>
      <c r="D50" s="179">
        <v>-952639.19</v>
      </c>
    </row>
    <row r="51" spans="1:4" ht="13.5">
      <c r="A51" s="176" t="s">
        <v>270</v>
      </c>
      <c r="B51" s="177">
        <v>9</v>
      </c>
      <c r="C51" s="183" t="s">
        <v>400</v>
      </c>
      <c r="D51" s="179">
        <v>176358000</v>
      </c>
    </row>
    <row r="52" spans="1:4" ht="13.5">
      <c r="A52" s="176" t="s">
        <v>271</v>
      </c>
      <c r="B52" s="177">
        <v>7</v>
      </c>
      <c r="C52" s="184" t="s">
        <v>401</v>
      </c>
      <c r="D52" s="179">
        <v>176358000</v>
      </c>
    </row>
    <row r="53" spans="1:4" ht="13.5">
      <c r="A53" s="176" t="s">
        <v>272</v>
      </c>
      <c r="B53" s="177">
        <v>1</v>
      </c>
      <c r="C53" s="183" t="s">
        <v>402</v>
      </c>
      <c r="D53" s="179">
        <v>32683799.68</v>
      </c>
    </row>
    <row r="54" spans="1:4" ht="13.5">
      <c r="A54" s="176" t="s">
        <v>273</v>
      </c>
      <c r="B54" s="177">
        <v>0</v>
      </c>
      <c r="C54" s="184" t="s">
        <v>403</v>
      </c>
      <c r="D54" s="179">
        <v>162276000</v>
      </c>
    </row>
    <row r="55" spans="1:4" ht="13.5">
      <c r="A55" s="176" t="s">
        <v>274</v>
      </c>
      <c r="B55" s="177">
        <v>8</v>
      </c>
      <c r="C55" s="184" t="s">
        <v>404</v>
      </c>
      <c r="D55" s="179">
        <v>-129592200.31999999</v>
      </c>
    </row>
    <row r="56" spans="1:4" ht="13.5">
      <c r="A56" s="176" t="s">
        <v>275</v>
      </c>
      <c r="B56" s="177">
        <v>8</v>
      </c>
      <c r="C56" s="183" t="s">
        <v>276</v>
      </c>
      <c r="D56" s="179">
        <v>168328526.28</v>
      </c>
    </row>
    <row r="57" spans="1:4" ht="13.5">
      <c r="A57" s="176" t="s">
        <v>278</v>
      </c>
      <c r="B57" s="177">
        <v>4</v>
      </c>
      <c r="C57" s="184" t="s">
        <v>405</v>
      </c>
      <c r="D57" s="179">
        <v>44691895.43</v>
      </c>
    </row>
    <row r="58" spans="1:4" ht="13.5">
      <c r="A58" s="176" t="s">
        <v>279</v>
      </c>
      <c r="B58" s="177">
        <v>2</v>
      </c>
      <c r="C58" s="184" t="s">
        <v>406</v>
      </c>
      <c r="D58" s="179">
        <v>7025260.0499999998</v>
      </c>
    </row>
    <row r="59" spans="1:4" ht="13.5">
      <c r="A59" s="176" t="s">
        <v>407</v>
      </c>
      <c r="B59" s="177">
        <v>0</v>
      </c>
      <c r="C59" s="184" t="s">
        <v>408</v>
      </c>
      <c r="D59" s="179">
        <v>45899406.200000003</v>
      </c>
    </row>
    <row r="60" spans="1:4" ht="13.5">
      <c r="A60" s="176" t="s">
        <v>280</v>
      </c>
      <c r="B60" s="177">
        <v>0</v>
      </c>
      <c r="C60" s="184" t="s">
        <v>409</v>
      </c>
      <c r="D60" s="179">
        <v>1897790.36</v>
      </c>
    </row>
    <row r="61" spans="1:4" ht="13.5">
      <c r="A61" s="176" t="s">
        <v>281</v>
      </c>
      <c r="B61" s="177">
        <v>9</v>
      </c>
      <c r="C61" s="184" t="s">
        <v>410</v>
      </c>
      <c r="D61" s="179">
        <v>2101445.02</v>
      </c>
    </row>
    <row r="62" spans="1:4" ht="13.5">
      <c r="A62" s="176" t="s">
        <v>282</v>
      </c>
      <c r="B62" s="177">
        <v>7</v>
      </c>
      <c r="C62" s="184" t="s">
        <v>411</v>
      </c>
      <c r="D62" s="179">
        <v>33441440.379999999</v>
      </c>
    </row>
    <row r="63" spans="1:4" ht="13.5">
      <c r="A63" s="176" t="s">
        <v>414</v>
      </c>
      <c r="B63" s="177">
        <v>0</v>
      </c>
      <c r="C63" s="184" t="s">
        <v>1017</v>
      </c>
      <c r="D63" s="179">
        <v>1010953.34</v>
      </c>
    </row>
    <row r="64" spans="1:4" ht="13.5">
      <c r="A64" s="176" t="s">
        <v>691</v>
      </c>
      <c r="B64" s="177">
        <v>0</v>
      </c>
      <c r="C64" s="184" t="s">
        <v>890</v>
      </c>
      <c r="D64" s="179">
        <v>3536300</v>
      </c>
    </row>
    <row r="65" spans="1:4" ht="13.5">
      <c r="A65" s="176" t="s">
        <v>1155</v>
      </c>
      <c r="B65" s="177">
        <v>7</v>
      </c>
      <c r="C65" s="184" t="s">
        <v>1156</v>
      </c>
      <c r="D65" s="179">
        <v>28724035.5</v>
      </c>
    </row>
    <row r="66" spans="1:4" ht="13.5">
      <c r="A66" s="176" t="s">
        <v>285</v>
      </c>
      <c r="B66" s="177">
        <v>4</v>
      </c>
      <c r="C66" s="183" t="s">
        <v>416</v>
      </c>
      <c r="D66" s="179">
        <v>79281286</v>
      </c>
    </row>
    <row r="67" spans="1:4" ht="13.5">
      <c r="A67" s="176" t="s">
        <v>286</v>
      </c>
      <c r="B67" s="177">
        <v>2</v>
      </c>
      <c r="C67" s="184" t="s">
        <v>417</v>
      </c>
      <c r="D67" s="179">
        <v>79281286</v>
      </c>
    </row>
    <row r="68" spans="1:4" ht="13.5">
      <c r="A68" s="176" t="s">
        <v>287</v>
      </c>
      <c r="B68" s="177">
        <v>7</v>
      </c>
      <c r="C68" s="183" t="s">
        <v>891</v>
      </c>
      <c r="D68" s="179">
        <v>85691628</v>
      </c>
    </row>
    <row r="69" spans="1:4" ht="13.5">
      <c r="A69" s="176" t="s">
        <v>288</v>
      </c>
      <c r="B69" s="177">
        <v>5</v>
      </c>
      <c r="C69" s="184" t="s">
        <v>419</v>
      </c>
      <c r="D69" s="179">
        <v>190425840</v>
      </c>
    </row>
    <row r="70" spans="1:4" ht="13.5">
      <c r="A70" s="176" t="s">
        <v>289</v>
      </c>
      <c r="B70" s="177">
        <v>3</v>
      </c>
      <c r="C70" s="184" t="s">
        <v>420</v>
      </c>
      <c r="D70" s="179">
        <v>-104734212</v>
      </c>
    </row>
    <row r="71" spans="1:4" ht="13.5">
      <c r="A71" s="176" t="s">
        <v>750</v>
      </c>
      <c r="B71" s="177">
        <v>0</v>
      </c>
      <c r="C71" s="183" t="s">
        <v>892</v>
      </c>
      <c r="D71" s="179">
        <v>60997921.060000002</v>
      </c>
    </row>
    <row r="72" spans="1:4" ht="13.5">
      <c r="A72" s="176" t="s">
        <v>752</v>
      </c>
      <c r="B72" s="177">
        <v>8</v>
      </c>
      <c r="C72" s="184" t="s">
        <v>694</v>
      </c>
      <c r="D72" s="179">
        <v>66011000</v>
      </c>
    </row>
    <row r="73" spans="1:4" ht="13.5">
      <c r="A73" s="176" t="s">
        <v>754</v>
      </c>
      <c r="B73" s="177">
        <v>6</v>
      </c>
      <c r="C73" s="184" t="s">
        <v>747</v>
      </c>
      <c r="D73" s="179">
        <v>-5013078.9400000004</v>
      </c>
    </row>
    <row r="74" spans="1:4" ht="13.5">
      <c r="A74" s="176" t="s">
        <v>1018</v>
      </c>
      <c r="B74" s="177">
        <v>0</v>
      </c>
      <c r="C74" s="182" t="s">
        <v>1019</v>
      </c>
      <c r="D74" s="179">
        <v>-72382464.040000007</v>
      </c>
    </row>
    <row r="75" spans="1:4" ht="13.5">
      <c r="A75" s="176" t="s">
        <v>1020</v>
      </c>
      <c r="B75" s="177">
        <v>4</v>
      </c>
      <c r="C75" s="183" t="s">
        <v>1021</v>
      </c>
      <c r="D75" s="179">
        <v>-72382464.040000007</v>
      </c>
    </row>
    <row r="76" spans="1:4" ht="13.5">
      <c r="A76" s="176" t="s">
        <v>1022</v>
      </c>
      <c r="B76" s="177">
        <v>9</v>
      </c>
      <c r="C76" s="184" t="s">
        <v>1023</v>
      </c>
      <c r="D76" s="179">
        <v>-72382464.040000007</v>
      </c>
    </row>
    <row r="77" spans="1:4" ht="13.5">
      <c r="A77" s="176" t="s">
        <v>322</v>
      </c>
      <c r="B77" s="177">
        <v>8</v>
      </c>
      <c r="C77" s="180" t="s">
        <v>33</v>
      </c>
      <c r="D77" s="179">
        <v>0</v>
      </c>
    </row>
    <row r="78" spans="1:4" ht="13.5">
      <c r="A78" s="176" t="s">
        <v>34</v>
      </c>
      <c r="B78" s="177">
        <v>0</v>
      </c>
      <c r="C78" s="181" t="s">
        <v>35</v>
      </c>
      <c r="D78" s="179">
        <v>0</v>
      </c>
    </row>
    <row r="79" spans="1:4" ht="13.5">
      <c r="A79" s="176" t="s">
        <v>421</v>
      </c>
      <c r="B79" s="177">
        <v>8</v>
      </c>
      <c r="C79" s="182" t="s">
        <v>422</v>
      </c>
      <c r="D79" s="179">
        <v>1500</v>
      </c>
    </row>
    <row r="80" spans="1:4" ht="13.5">
      <c r="A80" s="176" t="s">
        <v>423</v>
      </c>
      <c r="B80" s="177">
        <v>0</v>
      </c>
      <c r="C80" s="183" t="s">
        <v>424</v>
      </c>
      <c r="D80" s="179">
        <v>1500</v>
      </c>
    </row>
    <row r="81" spans="1:4" ht="13.5">
      <c r="A81" s="176" t="s">
        <v>425</v>
      </c>
      <c r="B81" s="177">
        <v>9</v>
      </c>
      <c r="C81" s="184" t="s">
        <v>893</v>
      </c>
      <c r="D81" s="179">
        <v>1500</v>
      </c>
    </row>
    <row r="82" spans="1:4" ht="13.5">
      <c r="A82" s="176" t="s">
        <v>36</v>
      </c>
      <c r="B82" s="177">
        <v>4</v>
      </c>
      <c r="C82" s="182" t="s">
        <v>37</v>
      </c>
      <c r="D82" s="179">
        <v>-1500</v>
      </c>
    </row>
    <row r="83" spans="1:4" ht="13.5">
      <c r="A83" s="176" t="s">
        <v>38</v>
      </c>
      <c r="B83" s="177">
        <v>0</v>
      </c>
      <c r="C83" s="183" t="s">
        <v>426</v>
      </c>
      <c r="D83" s="179">
        <v>-1500</v>
      </c>
    </row>
    <row r="84" spans="1:4" ht="13.5">
      <c r="A84" s="176" t="s">
        <v>39</v>
      </c>
      <c r="B84" s="177">
        <v>4</v>
      </c>
      <c r="C84" s="184" t="s">
        <v>894</v>
      </c>
      <c r="D84" s="179">
        <v>-1500</v>
      </c>
    </row>
    <row r="85" spans="1:4" ht="13.5">
      <c r="A85" s="176" t="s">
        <v>1157</v>
      </c>
      <c r="B85" s="177">
        <v>0</v>
      </c>
      <c r="C85" s="178" t="s">
        <v>626</v>
      </c>
      <c r="D85" s="179">
        <v>122146286.18000001</v>
      </c>
    </row>
    <row r="86" spans="1:4" ht="13.5">
      <c r="A86" s="176" t="s">
        <v>627</v>
      </c>
      <c r="B86" s="177">
        <v>0</v>
      </c>
      <c r="C86" s="180" t="s">
        <v>626</v>
      </c>
      <c r="D86" s="179">
        <v>122146286.18000001</v>
      </c>
    </row>
    <row r="87" spans="1:4" ht="13.5">
      <c r="A87" s="176" t="s">
        <v>628</v>
      </c>
      <c r="B87" s="177">
        <v>3</v>
      </c>
      <c r="C87" s="181" t="s">
        <v>629</v>
      </c>
      <c r="D87" s="179">
        <v>122146286.18000001</v>
      </c>
    </row>
    <row r="88" spans="1:4" ht="13.5">
      <c r="A88" s="176" t="s">
        <v>630</v>
      </c>
      <c r="B88" s="177">
        <v>7</v>
      </c>
      <c r="C88" s="182" t="s">
        <v>631</v>
      </c>
      <c r="D88" s="179">
        <v>122146286.18000001</v>
      </c>
    </row>
    <row r="89" spans="1:4" ht="13.5">
      <c r="A89" s="176" t="s">
        <v>632</v>
      </c>
      <c r="B89" s="177">
        <v>3</v>
      </c>
      <c r="C89" s="183" t="s">
        <v>631</v>
      </c>
      <c r="D89" s="179">
        <v>122146286.18000001</v>
      </c>
    </row>
    <row r="90" spans="1:4" ht="13.5">
      <c r="A90" s="176" t="s">
        <v>633</v>
      </c>
      <c r="B90" s="177">
        <v>8</v>
      </c>
      <c r="C90" s="184" t="s">
        <v>634</v>
      </c>
      <c r="D90" s="179">
        <v>42865000</v>
      </c>
    </row>
    <row r="91" spans="1:4" ht="13.5">
      <c r="A91" s="176" t="s">
        <v>635</v>
      </c>
      <c r="B91" s="177">
        <v>6</v>
      </c>
      <c r="C91" s="184" t="s">
        <v>636</v>
      </c>
      <c r="D91" s="179">
        <v>79281286.180000007</v>
      </c>
    </row>
    <row r="92" spans="1:4" ht="13.5">
      <c r="A92" s="176" t="s">
        <v>1158</v>
      </c>
      <c r="B92" s="177">
        <v>6</v>
      </c>
      <c r="C92" s="178" t="s">
        <v>346</v>
      </c>
      <c r="D92" s="179">
        <v>294758859.91000003</v>
      </c>
    </row>
    <row r="93" spans="1:4" ht="13.5">
      <c r="A93" s="176" t="s">
        <v>158</v>
      </c>
      <c r="B93" s="177">
        <v>1</v>
      </c>
      <c r="C93" s="180" t="s">
        <v>159</v>
      </c>
      <c r="D93" s="179">
        <v>294758859.91000003</v>
      </c>
    </row>
    <row r="94" spans="1:4" ht="13.5">
      <c r="A94" s="176" t="s">
        <v>323</v>
      </c>
      <c r="B94" s="177">
        <v>6</v>
      </c>
      <c r="C94" s="181" t="s">
        <v>308</v>
      </c>
      <c r="D94" s="179">
        <v>10984561.33</v>
      </c>
    </row>
    <row r="95" spans="1:4" ht="13.5">
      <c r="A95" s="176" t="s">
        <v>309</v>
      </c>
      <c r="B95" s="177">
        <v>0</v>
      </c>
      <c r="C95" s="182" t="s">
        <v>310</v>
      </c>
      <c r="D95" s="179">
        <v>10984561.33</v>
      </c>
    </row>
    <row r="96" spans="1:4" ht="13.5">
      <c r="A96" s="176" t="s">
        <v>311</v>
      </c>
      <c r="B96" s="177">
        <v>1</v>
      </c>
      <c r="C96" s="183" t="s">
        <v>988</v>
      </c>
      <c r="D96" s="179">
        <v>10984561.33</v>
      </c>
    </row>
    <row r="97" spans="1:4" ht="13.5">
      <c r="A97" s="176" t="s">
        <v>247</v>
      </c>
      <c r="B97" s="177">
        <v>0</v>
      </c>
      <c r="C97" s="184" t="s">
        <v>989</v>
      </c>
      <c r="D97" s="179">
        <v>10984561.33</v>
      </c>
    </row>
    <row r="98" spans="1:4" ht="13.5">
      <c r="A98" s="176" t="s">
        <v>160</v>
      </c>
      <c r="B98" s="177">
        <v>4</v>
      </c>
      <c r="C98" s="181" t="s">
        <v>161</v>
      </c>
      <c r="D98" s="179">
        <v>271560189.62</v>
      </c>
    </row>
    <row r="99" spans="1:4" ht="13.5">
      <c r="A99" s="176" t="s">
        <v>324</v>
      </c>
      <c r="B99" s="177">
        <v>8</v>
      </c>
      <c r="C99" s="182" t="s">
        <v>519</v>
      </c>
      <c r="D99" s="179">
        <v>5047365.17</v>
      </c>
    </row>
    <row r="100" spans="1:4" ht="13.5">
      <c r="A100" s="176" t="s">
        <v>162</v>
      </c>
      <c r="B100" s="177">
        <v>0</v>
      </c>
      <c r="C100" s="183" t="s">
        <v>1073</v>
      </c>
      <c r="D100" s="179">
        <v>5047365.17</v>
      </c>
    </row>
    <row r="101" spans="1:4" ht="13.5">
      <c r="A101" s="176" t="s">
        <v>301</v>
      </c>
      <c r="B101" s="177">
        <v>8</v>
      </c>
      <c r="C101" s="184" t="s">
        <v>845</v>
      </c>
      <c r="D101" s="179">
        <v>4471915.95</v>
      </c>
    </row>
    <row r="102" spans="1:4" ht="13.5">
      <c r="A102" s="176" t="s">
        <v>164</v>
      </c>
      <c r="B102" s="177">
        <v>4</v>
      </c>
      <c r="C102" s="184" t="s">
        <v>847</v>
      </c>
      <c r="D102" s="179">
        <v>481620.89</v>
      </c>
    </row>
    <row r="103" spans="1:4" ht="13.5">
      <c r="A103" s="176" t="s">
        <v>165</v>
      </c>
      <c r="B103" s="177">
        <v>2</v>
      </c>
      <c r="C103" s="184" t="s">
        <v>1159</v>
      </c>
      <c r="D103" s="179">
        <v>93828.33</v>
      </c>
    </row>
    <row r="104" spans="1:4" ht="13.5">
      <c r="A104" s="176" t="s">
        <v>525</v>
      </c>
      <c r="B104" s="177">
        <v>1</v>
      </c>
      <c r="C104" s="182" t="s">
        <v>526</v>
      </c>
      <c r="D104" s="179">
        <v>60060.160000000003</v>
      </c>
    </row>
    <row r="105" spans="1:4" ht="13.5">
      <c r="A105" s="176" t="s">
        <v>527</v>
      </c>
      <c r="B105" s="177">
        <v>9</v>
      </c>
      <c r="C105" s="183" t="s">
        <v>1074</v>
      </c>
      <c r="D105" s="179">
        <v>41078.74</v>
      </c>
    </row>
    <row r="106" spans="1:4" ht="13.5">
      <c r="A106" s="176" t="s">
        <v>529</v>
      </c>
      <c r="B106" s="177">
        <v>5</v>
      </c>
      <c r="C106" s="184" t="s">
        <v>850</v>
      </c>
      <c r="D106" s="179">
        <v>41078.74</v>
      </c>
    </row>
    <row r="107" spans="1:4" ht="13.5">
      <c r="A107" s="176" t="s">
        <v>769</v>
      </c>
      <c r="B107" s="177">
        <v>0</v>
      </c>
      <c r="C107" s="183" t="s">
        <v>770</v>
      </c>
      <c r="D107" s="179">
        <v>18981.419999999998</v>
      </c>
    </row>
    <row r="108" spans="1:4" ht="13.5">
      <c r="A108" s="176" t="s">
        <v>771</v>
      </c>
      <c r="B108" s="177">
        <v>9</v>
      </c>
      <c r="C108" s="184" t="s">
        <v>1075</v>
      </c>
      <c r="D108" s="179">
        <v>4629.6099999999997</v>
      </c>
    </row>
    <row r="109" spans="1:4" ht="13.5">
      <c r="A109" s="176" t="s">
        <v>773</v>
      </c>
      <c r="B109" s="177">
        <v>8</v>
      </c>
      <c r="C109" s="184" t="s">
        <v>1076</v>
      </c>
      <c r="D109" s="179">
        <v>3086.41</v>
      </c>
    </row>
    <row r="110" spans="1:4" ht="13.5">
      <c r="A110" s="176" t="s">
        <v>775</v>
      </c>
      <c r="B110" s="177">
        <v>6</v>
      </c>
      <c r="C110" s="184" t="s">
        <v>1077</v>
      </c>
      <c r="D110" s="179">
        <v>9259.23</v>
      </c>
    </row>
    <row r="111" spans="1:4" ht="13.5">
      <c r="A111" s="176" t="s">
        <v>777</v>
      </c>
      <c r="B111" s="177">
        <v>4</v>
      </c>
      <c r="C111" s="184" t="s">
        <v>1078</v>
      </c>
      <c r="D111" s="179">
        <v>2006.17</v>
      </c>
    </row>
    <row r="112" spans="1:4" ht="13.5">
      <c r="A112" s="176" t="s">
        <v>326</v>
      </c>
      <c r="B112" s="177">
        <v>5</v>
      </c>
      <c r="C112" s="182" t="s">
        <v>531</v>
      </c>
      <c r="D112" s="179">
        <v>266452764.28999999</v>
      </c>
    </row>
    <row r="113" spans="1:4" ht="13.5">
      <c r="A113" s="176" t="s">
        <v>166</v>
      </c>
      <c r="B113" s="177">
        <v>1</v>
      </c>
      <c r="C113" s="183" t="s">
        <v>167</v>
      </c>
      <c r="D113" s="179">
        <v>266452764.28999999</v>
      </c>
    </row>
    <row r="114" spans="1:4" ht="13.5">
      <c r="A114" s="176" t="s">
        <v>168</v>
      </c>
      <c r="B114" s="177">
        <v>0</v>
      </c>
      <c r="C114" s="184" t="s">
        <v>909</v>
      </c>
      <c r="D114" s="179">
        <v>204996884.22999999</v>
      </c>
    </row>
    <row r="115" spans="1:4" ht="13.5">
      <c r="A115" s="176" t="s">
        <v>169</v>
      </c>
      <c r="B115" s="177">
        <v>8</v>
      </c>
      <c r="C115" s="184" t="s">
        <v>910</v>
      </c>
      <c r="D115" s="179">
        <v>61455880.060000002</v>
      </c>
    </row>
    <row r="116" spans="1:4" ht="13.5">
      <c r="A116" s="176" t="s">
        <v>325</v>
      </c>
      <c r="B116" s="177">
        <v>5</v>
      </c>
      <c r="C116" s="181" t="s">
        <v>170</v>
      </c>
      <c r="D116" s="179">
        <v>12214108.960000001</v>
      </c>
    </row>
    <row r="117" spans="1:4" ht="13.5">
      <c r="A117" s="176" t="s">
        <v>171</v>
      </c>
      <c r="B117" s="177">
        <v>6</v>
      </c>
      <c r="C117" s="182" t="s">
        <v>172</v>
      </c>
      <c r="D117" s="179">
        <v>783724.4</v>
      </c>
    </row>
    <row r="118" spans="1:4" ht="13.5">
      <c r="A118" s="176" t="s">
        <v>173</v>
      </c>
      <c r="B118" s="177">
        <v>8</v>
      </c>
      <c r="C118" s="183" t="s">
        <v>1079</v>
      </c>
      <c r="D118" s="179">
        <v>783724.4</v>
      </c>
    </row>
    <row r="119" spans="1:4" ht="13.5">
      <c r="A119" s="176" t="s">
        <v>535</v>
      </c>
      <c r="B119" s="177">
        <v>6</v>
      </c>
      <c r="C119" s="184" t="s">
        <v>852</v>
      </c>
      <c r="D119" s="179">
        <v>164981.01999999999</v>
      </c>
    </row>
    <row r="120" spans="1:4" ht="13.5">
      <c r="A120" s="176" t="s">
        <v>537</v>
      </c>
      <c r="B120" s="177">
        <v>4</v>
      </c>
      <c r="C120" s="184" t="s">
        <v>853</v>
      </c>
      <c r="D120" s="179">
        <v>18504.060000000001</v>
      </c>
    </row>
    <row r="121" spans="1:4" ht="13.5">
      <c r="A121" s="176" t="s">
        <v>539</v>
      </c>
      <c r="B121" s="177">
        <v>2</v>
      </c>
      <c r="C121" s="184" t="s">
        <v>854</v>
      </c>
      <c r="D121" s="179">
        <v>13589.24</v>
      </c>
    </row>
    <row r="122" spans="1:4" ht="13.5">
      <c r="A122" s="176" t="s">
        <v>541</v>
      </c>
      <c r="B122" s="177">
        <v>0</v>
      </c>
      <c r="C122" s="184" t="s">
        <v>855</v>
      </c>
      <c r="D122" s="179">
        <v>32996.199999999997</v>
      </c>
    </row>
    <row r="123" spans="1:4" ht="13.5">
      <c r="A123" s="176" t="s">
        <v>174</v>
      </c>
      <c r="B123" s="177">
        <v>9</v>
      </c>
      <c r="C123" s="184" t="s">
        <v>856</v>
      </c>
      <c r="D123" s="179">
        <v>387424.47</v>
      </c>
    </row>
    <row r="124" spans="1:4" ht="13.5">
      <c r="A124" s="176" t="s">
        <v>175</v>
      </c>
      <c r="B124" s="177">
        <v>7</v>
      </c>
      <c r="C124" s="184" t="s">
        <v>857</v>
      </c>
      <c r="D124" s="179">
        <v>124826.49</v>
      </c>
    </row>
    <row r="125" spans="1:4" ht="13.5">
      <c r="A125" s="176" t="s">
        <v>176</v>
      </c>
      <c r="B125" s="177">
        <v>5</v>
      </c>
      <c r="C125" s="184" t="s">
        <v>858</v>
      </c>
      <c r="D125" s="179">
        <v>41402.92</v>
      </c>
    </row>
    <row r="126" spans="1:4" ht="13.5">
      <c r="A126" s="176" t="s">
        <v>546</v>
      </c>
      <c r="B126" s="177">
        <v>7</v>
      </c>
      <c r="C126" s="182" t="s">
        <v>547</v>
      </c>
      <c r="D126" s="179">
        <v>10249353.1</v>
      </c>
    </row>
    <row r="127" spans="1:4" ht="13.5">
      <c r="A127" s="176" t="s">
        <v>1080</v>
      </c>
      <c r="B127" s="177">
        <v>9</v>
      </c>
      <c r="C127" s="183" t="s">
        <v>1081</v>
      </c>
      <c r="D127" s="179">
        <v>10249353.1</v>
      </c>
    </row>
    <row r="128" spans="1:4" ht="13.5">
      <c r="A128" s="176" t="s">
        <v>1082</v>
      </c>
      <c r="B128" s="177">
        <v>7</v>
      </c>
      <c r="C128" s="184" t="s">
        <v>1083</v>
      </c>
      <c r="D128" s="179">
        <v>6774056.3200000003</v>
      </c>
    </row>
    <row r="129" spans="1:4" ht="13.5">
      <c r="A129" s="176" t="s">
        <v>1160</v>
      </c>
      <c r="B129" s="177">
        <v>3</v>
      </c>
      <c r="C129" s="184" t="s">
        <v>1161</v>
      </c>
      <c r="D129" s="179">
        <v>3475296.78</v>
      </c>
    </row>
    <row r="130" spans="1:4" ht="13.5">
      <c r="A130" s="176" t="s">
        <v>177</v>
      </c>
      <c r="B130" s="177">
        <v>7</v>
      </c>
      <c r="C130" s="182" t="s">
        <v>178</v>
      </c>
      <c r="D130" s="179">
        <v>1181031.46</v>
      </c>
    </row>
    <row r="131" spans="1:4" ht="13.5">
      <c r="A131" s="176" t="s">
        <v>179</v>
      </c>
      <c r="B131" s="177">
        <v>0</v>
      </c>
      <c r="C131" s="183" t="s">
        <v>859</v>
      </c>
      <c r="D131" s="179">
        <v>1181031.46</v>
      </c>
    </row>
    <row r="132" spans="1:4" ht="13.5">
      <c r="A132" s="176" t="s">
        <v>180</v>
      </c>
      <c r="B132" s="177">
        <v>9</v>
      </c>
      <c r="C132" s="184" t="s">
        <v>860</v>
      </c>
      <c r="D132" s="179">
        <v>642646.22</v>
      </c>
    </row>
    <row r="133" spans="1:4" ht="13.5">
      <c r="A133" s="176" t="s">
        <v>181</v>
      </c>
      <c r="B133" s="177">
        <v>7</v>
      </c>
      <c r="C133" s="184" t="s">
        <v>861</v>
      </c>
      <c r="D133" s="179">
        <v>250096.03</v>
      </c>
    </row>
    <row r="134" spans="1:4" ht="13.5">
      <c r="A134" s="176" t="s">
        <v>182</v>
      </c>
      <c r="B134" s="177">
        <v>5</v>
      </c>
      <c r="C134" s="184" t="s">
        <v>1086</v>
      </c>
      <c r="D134" s="179">
        <v>85509.34</v>
      </c>
    </row>
    <row r="135" spans="1:4" ht="13.5">
      <c r="A135" s="176" t="s">
        <v>183</v>
      </c>
      <c r="B135" s="177">
        <v>1</v>
      </c>
      <c r="C135" s="184" t="s">
        <v>1089</v>
      </c>
      <c r="D135" s="179">
        <v>202779.87</v>
      </c>
    </row>
    <row r="136" spans="1:4" ht="13.5">
      <c r="A136" s="176" t="s">
        <v>1162</v>
      </c>
      <c r="B136" s="177">
        <v>9</v>
      </c>
      <c r="C136" s="178" t="s">
        <v>184</v>
      </c>
      <c r="D136" s="179">
        <v>3389943269.5100002</v>
      </c>
    </row>
    <row r="137" spans="1:4" ht="13.5">
      <c r="A137" s="176" t="s">
        <v>185</v>
      </c>
      <c r="B137" s="177">
        <v>6</v>
      </c>
      <c r="C137" s="180" t="s">
        <v>184</v>
      </c>
      <c r="D137" s="179">
        <v>3389943269.5100002</v>
      </c>
    </row>
    <row r="138" spans="1:4" ht="13.5">
      <c r="A138" s="176" t="s">
        <v>186</v>
      </c>
      <c r="B138" s="177">
        <v>4</v>
      </c>
      <c r="C138" s="181" t="s">
        <v>187</v>
      </c>
      <c r="D138" s="179">
        <v>2903635696.5700002</v>
      </c>
    </row>
    <row r="139" spans="1:4" ht="13.5">
      <c r="A139" s="176" t="s">
        <v>327</v>
      </c>
      <c r="B139" s="177">
        <v>8</v>
      </c>
      <c r="C139" s="182" t="s">
        <v>188</v>
      </c>
      <c r="D139" s="179">
        <v>4000000000</v>
      </c>
    </row>
    <row r="140" spans="1:4" ht="13.5">
      <c r="A140" s="176" t="s">
        <v>189</v>
      </c>
      <c r="B140" s="177">
        <v>3</v>
      </c>
      <c r="C140" s="183" t="s">
        <v>190</v>
      </c>
      <c r="D140" s="179">
        <v>4000000000</v>
      </c>
    </row>
    <row r="141" spans="1:4" ht="13.5">
      <c r="A141" s="176" t="s">
        <v>191</v>
      </c>
      <c r="B141" s="177">
        <v>3</v>
      </c>
      <c r="C141" s="184" t="s">
        <v>188</v>
      </c>
      <c r="D141" s="179">
        <v>4000000000</v>
      </c>
    </row>
    <row r="142" spans="1:4" ht="13.5">
      <c r="A142" s="176" t="s">
        <v>328</v>
      </c>
      <c r="B142" s="177">
        <v>2</v>
      </c>
      <c r="C142" s="182" t="s">
        <v>192</v>
      </c>
      <c r="D142" s="179">
        <v>-1096364303.4300001</v>
      </c>
    </row>
    <row r="143" spans="1:4" ht="13.5">
      <c r="A143" s="176" t="s">
        <v>193</v>
      </c>
      <c r="B143" s="177">
        <v>8</v>
      </c>
      <c r="C143" s="183" t="s">
        <v>194</v>
      </c>
      <c r="D143" s="179">
        <v>-1096364303.4300001</v>
      </c>
    </row>
    <row r="144" spans="1:4" ht="13.5">
      <c r="A144" s="176" t="s">
        <v>195</v>
      </c>
      <c r="B144" s="177">
        <v>2</v>
      </c>
      <c r="C144" s="184" t="s">
        <v>912</v>
      </c>
      <c r="D144" s="179">
        <v>-1096364303.4300001</v>
      </c>
    </row>
    <row r="145" spans="1:4" ht="13.5">
      <c r="A145" s="176" t="s">
        <v>330</v>
      </c>
      <c r="B145" s="177">
        <v>7</v>
      </c>
      <c r="C145" s="181" t="s">
        <v>196</v>
      </c>
      <c r="D145" s="179">
        <v>143362590.34999999</v>
      </c>
    </row>
    <row r="146" spans="1:4" ht="13.5">
      <c r="A146" s="176" t="s">
        <v>197</v>
      </c>
      <c r="B146" s="177">
        <v>0</v>
      </c>
      <c r="C146" s="182" t="s">
        <v>198</v>
      </c>
      <c r="D146" s="179">
        <v>110408906.36</v>
      </c>
    </row>
    <row r="147" spans="1:4" ht="13.5">
      <c r="A147" s="176" t="s">
        <v>199</v>
      </c>
      <c r="B147" s="177">
        <v>1</v>
      </c>
      <c r="C147" s="183" t="s">
        <v>198</v>
      </c>
      <c r="D147" s="179">
        <v>110408906.36</v>
      </c>
    </row>
    <row r="148" spans="1:4" ht="13.5">
      <c r="A148" s="176" t="s">
        <v>200</v>
      </c>
      <c r="B148" s="177">
        <v>0</v>
      </c>
      <c r="C148" s="184" t="s">
        <v>198</v>
      </c>
      <c r="D148" s="179">
        <v>110408906.36</v>
      </c>
    </row>
    <row r="149" spans="1:4" ht="13.5">
      <c r="A149" s="176" t="s">
        <v>201</v>
      </c>
      <c r="B149" s="177">
        <v>4</v>
      </c>
      <c r="C149" s="182" t="s">
        <v>202</v>
      </c>
      <c r="D149" s="179">
        <v>32953683.989999998</v>
      </c>
    </row>
    <row r="150" spans="1:4" ht="13.5">
      <c r="A150" s="176" t="s">
        <v>203</v>
      </c>
      <c r="B150" s="177">
        <v>0</v>
      </c>
      <c r="C150" s="183" t="s">
        <v>202</v>
      </c>
      <c r="D150" s="179">
        <v>32953683.989999998</v>
      </c>
    </row>
    <row r="151" spans="1:4" ht="13.5">
      <c r="A151" s="176" t="s">
        <v>204</v>
      </c>
      <c r="B151" s="177">
        <v>4</v>
      </c>
      <c r="C151" s="184" t="s">
        <v>913</v>
      </c>
      <c r="D151" s="179">
        <v>32953683.989999998</v>
      </c>
    </row>
    <row r="152" spans="1:4" ht="13.5">
      <c r="A152" s="176" t="s">
        <v>329</v>
      </c>
      <c r="B152" s="177">
        <v>5</v>
      </c>
      <c r="C152" s="181" t="s">
        <v>205</v>
      </c>
      <c r="D152" s="179">
        <v>389195767.13999999</v>
      </c>
    </row>
    <row r="153" spans="1:4" ht="13.5">
      <c r="A153" s="176" t="s">
        <v>206</v>
      </c>
      <c r="B153" s="177">
        <v>9</v>
      </c>
      <c r="C153" s="182" t="s">
        <v>207</v>
      </c>
      <c r="D153" s="179">
        <v>310709727.49000001</v>
      </c>
    </row>
    <row r="154" spans="1:4" ht="13.5">
      <c r="A154" s="176" t="s">
        <v>208</v>
      </c>
      <c r="B154" s="177">
        <v>4</v>
      </c>
      <c r="C154" s="183" t="s">
        <v>209</v>
      </c>
      <c r="D154" s="179">
        <v>397329617.69</v>
      </c>
    </row>
    <row r="155" spans="1:4" ht="13.5">
      <c r="A155" s="176" t="s">
        <v>210</v>
      </c>
      <c r="B155" s="177">
        <v>9</v>
      </c>
      <c r="C155" s="184" t="s">
        <v>914</v>
      </c>
      <c r="D155" s="179">
        <v>663376939.14999998</v>
      </c>
    </row>
    <row r="156" spans="1:4" ht="13.5">
      <c r="A156" s="176" t="s">
        <v>211</v>
      </c>
      <c r="B156" s="177">
        <v>7</v>
      </c>
      <c r="C156" s="184" t="s">
        <v>915</v>
      </c>
      <c r="D156" s="179">
        <v>-266047321.46000001</v>
      </c>
    </row>
    <row r="157" spans="1:4" ht="13.5">
      <c r="A157" s="176" t="s">
        <v>213</v>
      </c>
      <c r="B157" s="177">
        <v>0</v>
      </c>
      <c r="C157" s="183" t="s">
        <v>864</v>
      </c>
      <c r="D157" s="179">
        <v>-86619890.200000003</v>
      </c>
    </row>
    <row r="158" spans="1:4" ht="13.5">
      <c r="A158" s="176" t="s">
        <v>214</v>
      </c>
      <c r="B158" s="177">
        <v>1</v>
      </c>
      <c r="C158" s="184" t="s">
        <v>865</v>
      </c>
      <c r="D158" s="179">
        <v>-86619890.200000003</v>
      </c>
    </row>
    <row r="159" spans="1:4" ht="13.5">
      <c r="A159" s="176" t="s">
        <v>297</v>
      </c>
      <c r="B159" s="177">
        <v>8</v>
      </c>
      <c r="C159" s="182" t="s">
        <v>298</v>
      </c>
      <c r="D159" s="179">
        <v>78486039.650000006</v>
      </c>
    </row>
    <row r="160" spans="1:4" ht="13.5">
      <c r="A160" s="176" t="s">
        <v>299</v>
      </c>
      <c r="B160" s="177">
        <v>9</v>
      </c>
      <c r="C160" s="183" t="s">
        <v>298</v>
      </c>
      <c r="D160" s="179">
        <v>64591710.090000004</v>
      </c>
    </row>
    <row r="161" spans="1:4" ht="13.5">
      <c r="A161" s="176" t="s">
        <v>300</v>
      </c>
      <c r="B161" s="177">
        <v>7</v>
      </c>
      <c r="C161" s="184" t="s">
        <v>1090</v>
      </c>
      <c r="D161" s="179">
        <v>64591710.090000004</v>
      </c>
    </row>
    <row r="162" spans="1:4" ht="13.5">
      <c r="A162" s="176" t="s">
        <v>866</v>
      </c>
      <c r="B162" s="177">
        <v>4</v>
      </c>
      <c r="C162" s="183" t="s">
        <v>867</v>
      </c>
      <c r="D162" s="179">
        <v>13894329.560000001</v>
      </c>
    </row>
    <row r="163" spans="1:4" ht="13.5">
      <c r="A163" s="176" t="s">
        <v>868</v>
      </c>
      <c r="B163" s="177">
        <v>0</v>
      </c>
      <c r="C163" s="184" t="s">
        <v>869</v>
      </c>
      <c r="D163" s="179">
        <v>167259.56</v>
      </c>
    </row>
    <row r="164" spans="1:4" ht="13.5">
      <c r="A164" s="176" t="s">
        <v>1091</v>
      </c>
      <c r="B164" s="177">
        <v>9</v>
      </c>
      <c r="C164" s="184" t="s">
        <v>1092</v>
      </c>
      <c r="D164" s="179">
        <v>13727070</v>
      </c>
    </row>
    <row r="165" spans="1:4" ht="13.5">
      <c r="A165" s="176" t="s">
        <v>680</v>
      </c>
      <c r="B165" s="177">
        <v>1</v>
      </c>
      <c r="C165" s="181" t="s">
        <v>681</v>
      </c>
      <c r="D165" s="179">
        <v>-46250784.549999997</v>
      </c>
    </row>
    <row r="166" spans="1:4" ht="13.5">
      <c r="A166" s="176" t="s">
        <v>682</v>
      </c>
      <c r="B166" s="177">
        <v>5</v>
      </c>
      <c r="C166" s="182" t="s">
        <v>681</v>
      </c>
      <c r="D166" s="179">
        <v>-46250784.549999997</v>
      </c>
    </row>
    <row r="167" spans="1:4" ht="13.5">
      <c r="A167" s="176" t="s">
        <v>683</v>
      </c>
      <c r="B167" s="177">
        <v>0</v>
      </c>
      <c r="C167" s="183" t="s">
        <v>681</v>
      </c>
      <c r="D167" s="179">
        <v>-46250784.549999997</v>
      </c>
    </row>
    <row r="168" spans="1:4" ht="13.5">
      <c r="A168" s="176" t="s">
        <v>684</v>
      </c>
      <c r="B168" s="177">
        <v>5</v>
      </c>
      <c r="C168" s="184" t="s">
        <v>685</v>
      </c>
      <c r="D168" s="179">
        <v>-46250784.549999997</v>
      </c>
    </row>
    <row r="169" spans="1:4" ht="13.5">
      <c r="A169" s="176" t="s">
        <v>1163</v>
      </c>
      <c r="B169" s="177">
        <v>5</v>
      </c>
      <c r="C169" s="178" t="s">
        <v>215</v>
      </c>
      <c r="D169" s="179">
        <v>273877156.49000001</v>
      </c>
    </row>
    <row r="170" spans="1:4" ht="13.5">
      <c r="A170" s="176" t="s">
        <v>216</v>
      </c>
      <c r="B170" s="177">
        <v>2</v>
      </c>
      <c r="C170" s="180" t="s">
        <v>217</v>
      </c>
      <c r="D170" s="179">
        <v>273877156.49000001</v>
      </c>
    </row>
    <row r="171" spans="1:4" ht="13.5">
      <c r="A171" s="176" t="s">
        <v>339</v>
      </c>
      <c r="B171" s="177">
        <v>5</v>
      </c>
      <c r="C171" s="181" t="s">
        <v>218</v>
      </c>
      <c r="D171" s="179">
        <v>10301001.41</v>
      </c>
    </row>
    <row r="172" spans="1:4" ht="13.5">
      <c r="A172" s="176" t="s">
        <v>219</v>
      </c>
      <c r="B172" s="177">
        <v>9</v>
      </c>
      <c r="C172" s="182" t="s">
        <v>220</v>
      </c>
      <c r="D172" s="179">
        <v>10301001.41</v>
      </c>
    </row>
    <row r="173" spans="1:4" ht="13.5">
      <c r="A173" s="176" t="s">
        <v>221</v>
      </c>
      <c r="B173" s="177">
        <v>0</v>
      </c>
      <c r="C173" s="183" t="s">
        <v>917</v>
      </c>
      <c r="D173" s="179">
        <v>10301001.41</v>
      </c>
    </row>
    <row r="174" spans="1:4" ht="13.5">
      <c r="A174" s="176" t="s">
        <v>223</v>
      </c>
      <c r="B174" s="177">
        <v>9</v>
      </c>
      <c r="C174" s="184" t="s">
        <v>1164</v>
      </c>
      <c r="D174" s="179">
        <v>10301001.41</v>
      </c>
    </row>
    <row r="175" spans="1:4" ht="13.5">
      <c r="A175" s="176" t="s">
        <v>340</v>
      </c>
      <c r="B175" s="177">
        <v>3</v>
      </c>
      <c r="C175" s="181" t="s">
        <v>224</v>
      </c>
      <c r="D175" s="179">
        <v>103692885.66</v>
      </c>
    </row>
    <row r="176" spans="1:4" ht="13.5">
      <c r="A176" s="176" t="s">
        <v>225</v>
      </c>
      <c r="B176" s="177">
        <v>7</v>
      </c>
      <c r="C176" s="182" t="s">
        <v>226</v>
      </c>
      <c r="D176" s="179">
        <v>65576651.810000002</v>
      </c>
    </row>
    <row r="177" spans="1:4" ht="13.5">
      <c r="A177" s="176" t="s">
        <v>227</v>
      </c>
      <c r="B177" s="177">
        <v>5</v>
      </c>
      <c r="C177" s="183" t="s">
        <v>870</v>
      </c>
      <c r="D177" s="179">
        <v>65576651.810000002</v>
      </c>
    </row>
    <row r="178" spans="1:4" ht="13.5">
      <c r="A178" s="176" t="s">
        <v>228</v>
      </c>
      <c r="B178" s="177">
        <v>3</v>
      </c>
      <c r="C178" s="184" t="s">
        <v>871</v>
      </c>
      <c r="D178" s="179">
        <v>65576651.810000002</v>
      </c>
    </row>
    <row r="179" spans="1:4" ht="13.5">
      <c r="A179" s="176" t="s">
        <v>567</v>
      </c>
      <c r="B179" s="177">
        <v>0</v>
      </c>
      <c r="C179" s="182" t="s">
        <v>568</v>
      </c>
      <c r="D179" s="179">
        <v>25941570.149999999</v>
      </c>
    </row>
    <row r="180" spans="1:4" ht="13.5">
      <c r="A180" s="176" t="s">
        <v>569</v>
      </c>
      <c r="B180" s="177">
        <v>9</v>
      </c>
      <c r="C180" s="183" t="s">
        <v>919</v>
      </c>
      <c r="D180" s="179">
        <v>25941570.149999999</v>
      </c>
    </row>
    <row r="181" spans="1:4" ht="13.5">
      <c r="A181" s="176" t="s">
        <v>571</v>
      </c>
      <c r="B181" s="177">
        <v>7</v>
      </c>
      <c r="C181" s="184" t="s">
        <v>572</v>
      </c>
      <c r="D181" s="179">
        <v>15755831.550000001</v>
      </c>
    </row>
    <row r="182" spans="1:4" ht="13.5">
      <c r="A182" s="176" t="s">
        <v>573</v>
      </c>
      <c r="B182" s="177">
        <v>5</v>
      </c>
      <c r="C182" s="184" t="s">
        <v>574</v>
      </c>
      <c r="D182" s="179">
        <v>10185738.6</v>
      </c>
    </row>
    <row r="183" spans="1:4" ht="13.5">
      <c r="A183" s="176" t="s">
        <v>577</v>
      </c>
      <c r="B183" s="177">
        <v>8</v>
      </c>
      <c r="C183" s="182" t="s">
        <v>578</v>
      </c>
      <c r="D183" s="179">
        <v>12174663.699999999</v>
      </c>
    </row>
    <row r="184" spans="1:4" ht="13.5">
      <c r="A184" s="176" t="s">
        <v>579</v>
      </c>
      <c r="B184" s="177">
        <v>3</v>
      </c>
      <c r="C184" s="183" t="s">
        <v>580</v>
      </c>
      <c r="D184" s="179">
        <v>12174663.699999999</v>
      </c>
    </row>
    <row r="185" spans="1:4" ht="13.5">
      <c r="A185" s="176" t="s">
        <v>581</v>
      </c>
      <c r="B185" s="177">
        <v>8</v>
      </c>
      <c r="C185" s="184" t="s">
        <v>1093</v>
      </c>
      <c r="D185" s="179">
        <v>12174663.699999999</v>
      </c>
    </row>
    <row r="186" spans="1:4" ht="13.5">
      <c r="A186" s="176" t="s">
        <v>332</v>
      </c>
      <c r="B186" s="177">
        <v>8</v>
      </c>
      <c r="C186" s="181" t="s">
        <v>229</v>
      </c>
      <c r="D186" s="179">
        <v>158931859.44</v>
      </c>
    </row>
    <row r="187" spans="1:4" ht="13.5">
      <c r="A187" s="176" t="s">
        <v>230</v>
      </c>
      <c r="B187" s="177">
        <v>5</v>
      </c>
      <c r="C187" s="182" t="s">
        <v>231</v>
      </c>
      <c r="D187" s="179">
        <v>158931859.44</v>
      </c>
    </row>
    <row r="188" spans="1:4" ht="13.5">
      <c r="A188" s="176" t="s">
        <v>232</v>
      </c>
      <c r="B188" s="177">
        <v>0</v>
      </c>
      <c r="C188" s="183" t="s">
        <v>231</v>
      </c>
      <c r="D188" s="179">
        <v>158931859.44</v>
      </c>
    </row>
    <row r="189" spans="1:4" ht="13.5">
      <c r="A189" s="176" t="s">
        <v>234</v>
      </c>
      <c r="B189" s="177">
        <v>2</v>
      </c>
      <c r="C189" s="184" t="s">
        <v>1094</v>
      </c>
      <c r="D189" s="179">
        <v>30786646.5</v>
      </c>
    </row>
    <row r="190" spans="1:4" ht="13.5">
      <c r="A190" s="176" t="s">
        <v>1095</v>
      </c>
      <c r="B190" s="177">
        <v>0</v>
      </c>
      <c r="C190" s="184" t="s">
        <v>1096</v>
      </c>
      <c r="D190" s="179">
        <v>82182458.75</v>
      </c>
    </row>
    <row r="191" spans="1:4" ht="13.5">
      <c r="A191" s="176" t="s">
        <v>1097</v>
      </c>
      <c r="B191" s="177">
        <v>9</v>
      </c>
      <c r="C191" s="184" t="s">
        <v>1098</v>
      </c>
      <c r="D191" s="179">
        <v>220975.59</v>
      </c>
    </row>
    <row r="192" spans="1:4" ht="13.5">
      <c r="A192" s="176" t="s">
        <v>1099</v>
      </c>
      <c r="B192" s="177">
        <v>7</v>
      </c>
      <c r="C192" s="184" t="s">
        <v>1100</v>
      </c>
      <c r="D192" s="179">
        <v>319201.58</v>
      </c>
    </row>
    <row r="193" spans="1:4" ht="13.5">
      <c r="A193" s="176" t="s">
        <v>1101</v>
      </c>
      <c r="B193" s="177">
        <v>5</v>
      </c>
      <c r="C193" s="184" t="s">
        <v>1102</v>
      </c>
      <c r="D193" s="179">
        <v>30511787.379999999</v>
      </c>
    </row>
    <row r="194" spans="1:4" ht="13.5">
      <c r="A194" s="176" t="s">
        <v>1103</v>
      </c>
      <c r="B194" s="177">
        <v>3</v>
      </c>
      <c r="C194" s="184" t="s">
        <v>1104</v>
      </c>
      <c r="D194" s="179">
        <v>25210.83</v>
      </c>
    </row>
    <row r="195" spans="1:4" ht="13.5">
      <c r="A195" s="176" t="s">
        <v>1165</v>
      </c>
      <c r="B195" s="177">
        <v>0</v>
      </c>
      <c r="C195" s="184" t="s">
        <v>1166</v>
      </c>
      <c r="D195" s="179">
        <v>18623.22</v>
      </c>
    </row>
    <row r="196" spans="1:4" ht="13.5">
      <c r="A196" s="176" t="s">
        <v>1167</v>
      </c>
      <c r="B196" s="177">
        <v>8</v>
      </c>
      <c r="C196" s="184" t="s">
        <v>1168</v>
      </c>
      <c r="D196" s="179">
        <v>6331601.7999999998</v>
      </c>
    </row>
    <row r="197" spans="1:4" ht="13.5">
      <c r="A197" s="176" t="s">
        <v>1107</v>
      </c>
      <c r="B197" s="177">
        <v>6</v>
      </c>
      <c r="C197" s="184" t="s">
        <v>1108</v>
      </c>
      <c r="D197" s="179">
        <v>8498354.4800000004</v>
      </c>
    </row>
    <row r="198" spans="1:4" ht="13.5">
      <c r="A198" s="176" t="s">
        <v>1169</v>
      </c>
      <c r="B198" s="177">
        <v>0</v>
      </c>
      <c r="C198" s="184" t="s">
        <v>1170</v>
      </c>
      <c r="D198" s="179">
        <v>36999.31</v>
      </c>
    </row>
    <row r="199" spans="1:4" ht="13.5">
      <c r="A199" s="176" t="s">
        <v>335</v>
      </c>
      <c r="B199" s="177">
        <v>6</v>
      </c>
      <c r="C199" s="181" t="s">
        <v>236</v>
      </c>
      <c r="D199" s="179">
        <v>951409.98</v>
      </c>
    </row>
    <row r="200" spans="1:4" ht="13.5">
      <c r="A200" s="176" t="s">
        <v>1171</v>
      </c>
      <c r="B200" s="177">
        <v>7</v>
      </c>
      <c r="C200" s="182" t="s">
        <v>1172</v>
      </c>
      <c r="D200" s="179">
        <v>21066.31</v>
      </c>
    </row>
    <row r="201" spans="1:4" ht="13.5">
      <c r="A201" s="176" t="s">
        <v>1173</v>
      </c>
      <c r="B201" s="177">
        <v>2</v>
      </c>
      <c r="C201" s="183" t="s">
        <v>1172</v>
      </c>
      <c r="D201" s="179">
        <v>21066.31</v>
      </c>
    </row>
    <row r="202" spans="1:4" ht="13.5">
      <c r="A202" s="176" t="s">
        <v>1174</v>
      </c>
      <c r="B202" s="177">
        <v>2</v>
      </c>
      <c r="C202" s="184" t="s">
        <v>1175</v>
      </c>
      <c r="D202" s="179">
        <v>21066.31</v>
      </c>
    </row>
    <row r="203" spans="1:4" ht="13.5">
      <c r="A203" s="176" t="s">
        <v>237</v>
      </c>
      <c r="B203" s="177">
        <v>0</v>
      </c>
      <c r="C203" s="182" t="s">
        <v>238</v>
      </c>
      <c r="D203" s="179">
        <v>930343.67</v>
      </c>
    </row>
    <row r="204" spans="1:4" ht="13.5">
      <c r="A204" s="176" t="s">
        <v>239</v>
      </c>
      <c r="B204" s="177">
        <v>0</v>
      </c>
      <c r="C204" s="183" t="s">
        <v>1176</v>
      </c>
      <c r="D204" s="179">
        <v>27409.73</v>
      </c>
    </row>
    <row r="205" spans="1:4" ht="13.5">
      <c r="A205" s="176" t="s">
        <v>1177</v>
      </c>
      <c r="B205" s="177">
        <v>3</v>
      </c>
      <c r="C205" s="184" t="s">
        <v>1178</v>
      </c>
      <c r="D205" s="179">
        <v>27409.73</v>
      </c>
    </row>
    <row r="206" spans="1:4" ht="13.5">
      <c r="A206" s="176" t="s">
        <v>336</v>
      </c>
      <c r="B206" s="177">
        <v>9</v>
      </c>
      <c r="C206" s="183" t="s">
        <v>1109</v>
      </c>
      <c r="D206" s="179">
        <v>440302.37</v>
      </c>
    </row>
    <row r="207" spans="1:4" ht="13.5">
      <c r="A207" s="176" t="s">
        <v>333</v>
      </c>
      <c r="B207" s="177">
        <v>1</v>
      </c>
      <c r="C207" s="184" t="s">
        <v>1110</v>
      </c>
      <c r="D207" s="179">
        <v>440302.37</v>
      </c>
    </row>
    <row r="208" spans="1:4" ht="13.5">
      <c r="A208" s="176" t="s">
        <v>241</v>
      </c>
      <c r="B208" s="177">
        <v>9</v>
      </c>
      <c r="C208" s="183" t="s">
        <v>587</v>
      </c>
      <c r="D208" s="179">
        <v>462631.57</v>
      </c>
    </row>
    <row r="209" spans="1:4" ht="13.5">
      <c r="A209" s="176" t="s">
        <v>920</v>
      </c>
      <c r="B209" s="177">
        <v>0</v>
      </c>
      <c r="C209" s="184" t="s">
        <v>1112</v>
      </c>
      <c r="D209" s="179">
        <v>386513.79</v>
      </c>
    </row>
    <row r="210" spans="1:4" ht="13.5">
      <c r="A210" s="176" t="s">
        <v>1179</v>
      </c>
      <c r="B210" s="177">
        <v>8</v>
      </c>
      <c r="C210" s="184" t="s">
        <v>1180</v>
      </c>
      <c r="D210" s="179">
        <v>76117.78</v>
      </c>
    </row>
    <row r="211" spans="1:4" ht="13.5">
      <c r="A211" s="176" t="s">
        <v>1181</v>
      </c>
      <c r="B211" s="177">
        <v>1</v>
      </c>
      <c r="C211" s="178" t="s">
        <v>40</v>
      </c>
      <c r="D211" s="179">
        <v>227626371.94</v>
      </c>
    </row>
    <row r="212" spans="1:4" ht="13.5">
      <c r="A212" s="176" t="s">
        <v>41</v>
      </c>
      <c r="B212" s="177">
        <v>9</v>
      </c>
      <c r="C212" s="180" t="s">
        <v>42</v>
      </c>
      <c r="D212" s="179">
        <v>201344623.52000001</v>
      </c>
    </row>
    <row r="213" spans="1:4" ht="13.5">
      <c r="A213" s="176" t="s">
        <v>334</v>
      </c>
      <c r="B213" s="177">
        <v>8</v>
      </c>
      <c r="C213" s="181" t="s">
        <v>43</v>
      </c>
      <c r="D213" s="179">
        <v>141623400.78999999</v>
      </c>
    </row>
    <row r="214" spans="1:4" ht="13.5">
      <c r="A214" s="176" t="s">
        <v>44</v>
      </c>
      <c r="B214" s="177">
        <v>5</v>
      </c>
      <c r="C214" s="182" t="s">
        <v>45</v>
      </c>
      <c r="D214" s="179">
        <v>141623400.78999999</v>
      </c>
    </row>
    <row r="215" spans="1:4" ht="13.5">
      <c r="A215" s="176" t="s">
        <v>46</v>
      </c>
      <c r="B215" s="177">
        <v>0</v>
      </c>
      <c r="C215" s="183" t="s">
        <v>47</v>
      </c>
      <c r="D215" s="179">
        <v>141623400.78999999</v>
      </c>
    </row>
    <row r="216" spans="1:4" ht="13.5">
      <c r="A216" s="176" t="s">
        <v>49</v>
      </c>
      <c r="B216" s="177">
        <v>3</v>
      </c>
      <c r="C216" s="184" t="s">
        <v>1024</v>
      </c>
      <c r="D216" s="179">
        <v>20625661.559999999</v>
      </c>
    </row>
    <row r="217" spans="1:4" ht="13.5">
      <c r="A217" s="176" t="s">
        <v>50</v>
      </c>
      <c r="B217" s="177">
        <v>2</v>
      </c>
      <c r="C217" s="184" t="s">
        <v>1025</v>
      </c>
      <c r="D217" s="179">
        <v>18404442</v>
      </c>
    </row>
    <row r="218" spans="1:4" ht="13.5">
      <c r="A218" s="176" t="s">
        <v>1026</v>
      </c>
      <c r="B218" s="177">
        <v>0</v>
      </c>
      <c r="C218" s="184" t="s">
        <v>1027</v>
      </c>
      <c r="D218" s="179">
        <v>24560392.710000001</v>
      </c>
    </row>
    <row r="219" spans="1:4" ht="13.5">
      <c r="A219" s="176" t="s">
        <v>1028</v>
      </c>
      <c r="B219" s="177">
        <v>9</v>
      </c>
      <c r="C219" s="184" t="s">
        <v>1029</v>
      </c>
      <c r="D219" s="179">
        <v>41100837.5</v>
      </c>
    </row>
    <row r="220" spans="1:4" ht="13.5">
      <c r="A220" s="176" t="s">
        <v>1030</v>
      </c>
      <c r="B220" s="177">
        <v>7</v>
      </c>
      <c r="C220" s="184" t="s">
        <v>1031</v>
      </c>
      <c r="D220" s="179">
        <v>31461.83</v>
      </c>
    </row>
    <row r="221" spans="1:4" ht="13.5">
      <c r="A221" s="176" t="s">
        <v>1032</v>
      </c>
      <c r="B221" s="177">
        <v>5</v>
      </c>
      <c r="C221" s="184" t="s">
        <v>1033</v>
      </c>
      <c r="D221" s="179">
        <v>7855034.2400000002</v>
      </c>
    </row>
    <row r="222" spans="1:4" ht="13.5">
      <c r="A222" s="176" t="s">
        <v>1182</v>
      </c>
      <c r="B222" s="177">
        <v>3</v>
      </c>
      <c r="C222" s="184" t="s">
        <v>1183</v>
      </c>
      <c r="D222" s="179">
        <v>1731.2</v>
      </c>
    </row>
    <row r="223" spans="1:4" ht="13.5">
      <c r="A223" s="176" t="s">
        <v>1034</v>
      </c>
      <c r="B223" s="177">
        <v>1</v>
      </c>
      <c r="C223" s="184" t="s">
        <v>1035</v>
      </c>
      <c r="D223" s="179">
        <v>13893938.619999999</v>
      </c>
    </row>
    <row r="224" spans="1:4" ht="13.5">
      <c r="A224" s="176" t="s">
        <v>1036</v>
      </c>
      <c r="B224" s="177">
        <v>0</v>
      </c>
      <c r="C224" s="184" t="s">
        <v>1037</v>
      </c>
      <c r="D224" s="179">
        <v>264922.81</v>
      </c>
    </row>
    <row r="225" spans="1:4" ht="13.5">
      <c r="A225" s="176" t="s">
        <v>1038</v>
      </c>
      <c r="B225" s="177">
        <v>8</v>
      </c>
      <c r="C225" s="184" t="s">
        <v>1039</v>
      </c>
      <c r="D225" s="179">
        <v>6032345.4800000004</v>
      </c>
    </row>
    <row r="226" spans="1:4" ht="13.5">
      <c r="A226" s="176" t="s">
        <v>1040</v>
      </c>
      <c r="B226" s="177">
        <v>6</v>
      </c>
      <c r="C226" s="184" t="s">
        <v>1041</v>
      </c>
      <c r="D226" s="179">
        <v>2007460.64</v>
      </c>
    </row>
    <row r="227" spans="1:4" ht="13.5">
      <c r="A227" s="176" t="s">
        <v>1184</v>
      </c>
      <c r="B227" s="177">
        <v>0</v>
      </c>
      <c r="C227" s="184" t="s">
        <v>1185</v>
      </c>
      <c r="D227" s="179">
        <v>5467857.71</v>
      </c>
    </row>
    <row r="228" spans="1:4" ht="13.5">
      <c r="A228" s="176" t="s">
        <v>1186</v>
      </c>
      <c r="B228" s="177">
        <v>8</v>
      </c>
      <c r="C228" s="184" t="s">
        <v>1187</v>
      </c>
      <c r="D228" s="179">
        <v>1377314.49</v>
      </c>
    </row>
    <row r="229" spans="1:4" ht="13.5">
      <c r="A229" s="176" t="s">
        <v>51</v>
      </c>
      <c r="B229" s="177">
        <v>6</v>
      </c>
      <c r="C229" s="181" t="s">
        <v>52</v>
      </c>
      <c r="D229" s="179">
        <v>14954913.630000001</v>
      </c>
    </row>
    <row r="230" spans="1:4" ht="13.5">
      <c r="A230" s="176" t="s">
        <v>53</v>
      </c>
      <c r="B230" s="177">
        <v>0</v>
      </c>
      <c r="C230" s="182" t="s">
        <v>54</v>
      </c>
      <c r="D230" s="179">
        <v>34283.199999999997</v>
      </c>
    </row>
    <row r="231" spans="1:4" ht="13.5">
      <c r="A231" s="176" t="s">
        <v>55</v>
      </c>
      <c r="B231" s="177">
        <v>1</v>
      </c>
      <c r="C231" s="183" t="s">
        <v>54</v>
      </c>
      <c r="D231" s="179">
        <v>34283.199999999997</v>
      </c>
    </row>
    <row r="232" spans="1:4" ht="13.5">
      <c r="A232" s="176" t="s">
        <v>56</v>
      </c>
      <c r="B232" s="177">
        <v>0</v>
      </c>
      <c r="C232" s="184" t="s">
        <v>802</v>
      </c>
      <c r="D232" s="179">
        <v>34283.199999999997</v>
      </c>
    </row>
    <row r="233" spans="1:4" ht="13.5">
      <c r="A233" s="176" t="s">
        <v>57</v>
      </c>
      <c r="B233" s="177">
        <v>3</v>
      </c>
      <c r="C233" s="182" t="s">
        <v>58</v>
      </c>
      <c r="D233" s="179">
        <v>393680.83</v>
      </c>
    </row>
    <row r="234" spans="1:4" ht="13.5">
      <c r="A234" s="176" t="s">
        <v>59</v>
      </c>
      <c r="B234" s="177">
        <v>5</v>
      </c>
      <c r="C234" s="183" t="s">
        <v>58</v>
      </c>
      <c r="D234" s="179">
        <v>393680.83</v>
      </c>
    </row>
    <row r="235" spans="1:4" ht="13.5">
      <c r="A235" s="176" t="s">
        <v>60</v>
      </c>
      <c r="B235" s="177">
        <v>3</v>
      </c>
      <c r="C235" s="184" t="s">
        <v>58</v>
      </c>
      <c r="D235" s="179">
        <v>393680.83</v>
      </c>
    </row>
    <row r="236" spans="1:4" ht="13.5">
      <c r="A236" s="176" t="s">
        <v>61</v>
      </c>
      <c r="B236" s="177">
        <v>6</v>
      </c>
      <c r="C236" s="182" t="s">
        <v>62</v>
      </c>
      <c r="D236" s="179">
        <v>3380543.33</v>
      </c>
    </row>
    <row r="237" spans="1:4" ht="13.5">
      <c r="A237" s="176" t="s">
        <v>63</v>
      </c>
      <c r="B237" s="177">
        <v>3</v>
      </c>
      <c r="C237" s="183" t="s">
        <v>803</v>
      </c>
      <c r="D237" s="179">
        <v>3380543.33</v>
      </c>
    </row>
    <row r="238" spans="1:4" ht="13.5">
      <c r="A238" s="176" t="s">
        <v>64</v>
      </c>
      <c r="B238" s="177">
        <v>1</v>
      </c>
      <c r="C238" s="184" t="s">
        <v>804</v>
      </c>
      <c r="D238" s="179">
        <v>2250133.58</v>
      </c>
    </row>
    <row r="239" spans="1:4" ht="13.5">
      <c r="A239" s="176" t="s">
        <v>65</v>
      </c>
      <c r="B239" s="177">
        <v>0</v>
      </c>
      <c r="C239" s="184" t="s">
        <v>805</v>
      </c>
      <c r="D239" s="179">
        <v>166630.45000000001</v>
      </c>
    </row>
    <row r="240" spans="1:4" ht="13.5">
      <c r="A240" s="176" t="s">
        <v>66</v>
      </c>
      <c r="B240" s="177">
        <v>8</v>
      </c>
      <c r="C240" s="184" t="s">
        <v>806</v>
      </c>
      <c r="D240" s="179">
        <v>526561.52</v>
      </c>
    </row>
    <row r="241" spans="1:4" ht="13.5">
      <c r="A241" s="176" t="s">
        <v>67</v>
      </c>
      <c r="B241" s="177">
        <v>4</v>
      </c>
      <c r="C241" s="184" t="s">
        <v>1188</v>
      </c>
      <c r="D241" s="179">
        <v>93880.49</v>
      </c>
    </row>
    <row r="242" spans="1:4" ht="13.5">
      <c r="A242" s="176" t="s">
        <v>68</v>
      </c>
      <c r="B242" s="177">
        <v>0</v>
      </c>
      <c r="C242" s="184" t="s">
        <v>807</v>
      </c>
      <c r="D242" s="179">
        <v>39822.300000000003</v>
      </c>
    </row>
    <row r="243" spans="1:4" ht="13.5">
      <c r="A243" s="176" t="s">
        <v>439</v>
      </c>
      <c r="B243" s="177">
        <v>0</v>
      </c>
      <c r="C243" s="184" t="s">
        <v>808</v>
      </c>
      <c r="D243" s="179">
        <v>146535.9</v>
      </c>
    </row>
    <row r="244" spans="1:4" ht="13.5">
      <c r="A244" s="176" t="s">
        <v>441</v>
      </c>
      <c r="B244" s="177">
        <v>9</v>
      </c>
      <c r="C244" s="184" t="s">
        <v>809</v>
      </c>
      <c r="D244" s="179">
        <v>15630.47</v>
      </c>
    </row>
    <row r="245" spans="1:4" ht="13.5">
      <c r="A245" s="176" t="s">
        <v>443</v>
      </c>
      <c r="B245" s="177">
        <v>7</v>
      </c>
      <c r="C245" s="184" t="s">
        <v>1189</v>
      </c>
      <c r="D245" s="179">
        <v>36786.6</v>
      </c>
    </row>
    <row r="246" spans="1:4" ht="13.5">
      <c r="A246" s="176" t="s">
        <v>445</v>
      </c>
      <c r="B246" s="177">
        <v>5</v>
      </c>
      <c r="C246" s="184" t="s">
        <v>811</v>
      </c>
      <c r="D246" s="179">
        <v>5778.26</v>
      </c>
    </row>
    <row r="247" spans="1:4" ht="13.5">
      <c r="A247" s="176" t="s">
        <v>69</v>
      </c>
      <c r="B247" s="177">
        <v>3</v>
      </c>
      <c r="C247" s="184" t="s">
        <v>812</v>
      </c>
      <c r="D247" s="179">
        <v>56045.09</v>
      </c>
    </row>
    <row r="248" spans="1:4" ht="13.5">
      <c r="A248" s="176" t="s">
        <v>70</v>
      </c>
      <c r="B248" s="177">
        <v>1</v>
      </c>
      <c r="C248" s="184" t="s">
        <v>949</v>
      </c>
      <c r="D248" s="179">
        <v>15177.04</v>
      </c>
    </row>
    <row r="249" spans="1:4" ht="13.5">
      <c r="A249" s="176" t="s">
        <v>71</v>
      </c>
      <c r="B249" s="177">
        <v>0</v>
      </c>
      <c r="C249" s="184" t="s">
        <v>813</v>
      </c>
      <c r="D249" s="179">
        <v>23143.39</v>
      </c>
    </row>
    <row r="250" spans="1:4" ht="13.5">
      <c r="A250" s="176" t="s">
        <v>1190</v>
      </c>
      <c r="B250" s="177">
        <v>8</v>
      </c>
      <c r="C250" s="184" t="s">
        <v>1191</v>
      </c>
      <c r="D250" s="179">
        <v>4418.24</v>
      </c>
    </row>
    <row r="251" spans="1:4" ht="13.5">
      <c r="A251" s="176" t="s">
        <v>72</v>
      </c>
      <c r="B251" s="177">
        <v>8</v>
      </c>
      <c r="C251" s="182" t="s">
        <v>73</v>
      </c>
      <c r="D251" s="179">
        <v>104906.55</v>
      </c>
    </row>
    <row r="252" spans="1:4" ht="13.5">
      <c r="A252" s="176" t="s">
        <v>74</v>
      </c>
      <c r="B252" s="177">
        <v>0</v>
      </c>
      <c r="C252" s="183" t="s">
        <v>814</v>
      </c>
      <c r="D252" s="179">
        <v>104906.55</v>
      </c>
    </row>
    <row r="253" spans="1:4" ht="13.5">
      <c r="A253" s="176" t="s">
        <v>76</v>
      </c>
      <c r="B253" s="177">
        <v>8</v>
      </c>
      <c r="C253" s="184" t="s">
        <v>815</v>
      </c>
      <c r="D253" s="179">
        <v>104906.55</v>
      </c>
    </row>
    <row r="254" spans="1:4" ht="13.5">
      <c r="A254" s="176" t="s">
        <v>77</v>
      </c>
      <c r="B254" s="177">
        <v>5</v>
      </c>
      <c r="C254" s="182" t="s">
        <v>78</v>
      </c>
      <c r="D254" s="179">
        <v>801106.43</v>
      </c>
    </row>
    <row r="255" spans="1:4" ht="13.5">
      <c r="A255" s="176" t="s">
        <v>79</v>
      </c>
      <c r="B255" s="177">
        <v>3</v>
      </c>
      <c r="C255" s="183" t="s">
        <v>1042</v>
      </c>
      <c r="D255" s="179">
        <v>801106.43</v>
      </c>
    </row>
    <row r="256" spans="1:4" ht="13.5">
      <c r="A256" s="176" t="s">
        <v>80</v>
      </c>
      <c r="B256" s="177">
        <v>1</v>
      </c>
      <c r="C256" s="184" t="s">
        <v>898</v>
      </c>
      <c r="D256" s="179">
        <v>33140.53</v>
      </c>
    </row>
    <row r="257" spans="1:4" ht="13.5">
      <c r="A257" s="176" t="s">
        <v>81</v>
      </c>
      <c r="B257" s="177">
        <v>8</v>
      </c>
      <c r="C257" s="184" t="s">
        <v>816</v>
      </c>
      <c r="D257" s="179">
        <v>358621.59</v>
      </c>
    </row>
    <row r="258" spans="1:4" ht="13.5">
      <c r="A258" s="176" t="s">
        <v>454</v>
      </c>
      <c r="B258" s="177">
        <v>6</v>
      </c>
      <c r="C258" s="184" t="s">
        <v>1192</v>
      </c>
      <c r="D258" s="179">
        <v>1740</v>
      </c>
    </row>
    <row r="259" spans="1:4" ht="13.5">
      <c r="A259" s="176" t="s">
        <v>1193</v>
      </c>
      <c r="B259" s="177">
        <v>2</v>
      </c>
      <c r="C259" s="184" t="s">
        <v>1194</v>
      </c>
      <c r="D259" s="179">
        <v>24976.28</v>
      </c>
    </row>
    <row r="260" spans="1:4" ht="13.5">
      <c r="A260" s="176" t="s">
        <v>1043</v>
      </c>
      <c r="B260" s="177">
        <v>0</v>
      </c>
      <c r="C260" s="184" t="s">
        <v>1044</v>
      </c>
      <c r="D260" s="179">
        <v>1812.6</v>
      </c>
    </row>
    <row r="261" spans="1:4" ht="13.5">
      <c r="A261" s="176" t="s">
        <v>899</v>
      </c>
      <c r="B261" s="177">
        <v>9</v>
      </c>
      <c r="C261" s="184" t="s">
        <v>1045</v>
      </c>
      <c r="D261" s="179">
        <v>380815.43</v>
      </c>
    </row>
    <row r="262" spans="1:4" ht="13.5">
      <c r="A262" s="176" t="s">
        <v>82</v>
      </c>
      <c r="B262" s="177">
        <v>7</v>
      </c>
      <c r="C262" s="182" t="s">
        <v>83</v>
      </c>
      <c r="D262" s="179">
        <v>2129608.84</v>
      </c>
    </row>
    <row r="263" spans="1:4" ht="13.5">
      <c r="A263" s="176" t="s">
        <v>84</v>
      </c>
      <c r="B263" s="177">
        <v>5</v>
      </c>
      <c r="C263" s="183" t="s">
        <v>817</v>
      </c>
      <c r="D263" s="179">
        <v>394660.28</v>
      </c>
    </row>
    <row r="264" spans="1:4" ht="13.5">
      <c r="A264" s="176" t="s">
        <v>85</v>
      </c>
      <c r="B264" s="177">
        <v>3</v>
      </c>
      <c r="C264" s="184" t="s">
        <v>818</v>
      </c>
      <c r="D264" s="179">
        <v>354278.67</v>
      </c>
    </row>
    <row r="265" spans="1:4" ht="13.5">
      <c r="A265" s="176" t="s">
        <v>86</v>
      </c>
      <c r="B265" s="177">
        <v>1</v>
      </c>
      <c r="C265" s="184" t="s">
        <v>819</v>
      </c>
      <c r="D265" s="179">
        <v>40381.61</v>
      </c>
    </row>
    <row r="266" spans="1:4" ht="13.5">
      <c r="A266" s="176" t="s">
        <v>87</v>
      </c>
      <c r="B266" s="177">
        <v>7</v>
      </c>
      <c r="C266" s="183" t="s">
        <v>820</v>
      </c>
      <c r="D266" s="179">
        <v>1217746.94</v>
      </c>
    </row>
    <row r="267" spans="1:4" ht="13.5">
      <c r="A267" s="176" t="s">
        <v>88</v>
      </c>
      <c r="B267" s="177">
        <v>5</v>
      </c>
      <c r="C267" s="184" t="s">
        <v>821</v>
      </c>
      <c r="D267" s="179">
        <v>1217746.94</v>
      </c>
    </row>
    <row r="268" spans="1:4" ht="13.5">
      <c r="A268" s="176" t="s">
        <v>89</v>
      </c>
      <c r="B268" s="177">
        <v>2</v>
      </c>
      <c r="C268" s="183" t="s">
        <v>822</v>
      </c>
      <c r="D268" s="179">
        <v>408025.95</v>
      </c>
    </row>
    <row r="269" spans="1:4" ht="13.5">
      <c r="A269" s="176" t="s">
        <v>638</v>
      </c>
      <c r="B269" s="177">
        <v>0</v>
      </c>
      <c r="C269" s="184" t="s">
        <v>823</v>
      </c>
      <c r="D269" s="179">
        <v>374443.31</v>
      </c>
    </row>
    <row r="270" spans="1:4" ht="13.5">
      <c r="A270" s="176" t="s">
        <v>90</v>
      </c>
      <c r="B270" s="177">
        <v>9</v>
      </c>
      <c r="C270" s="184" t="s">
        <v>824</v>
      </c>
      <c r="D270" s="179">
        <v>33582.639999999999</v>
      </c>
    </row>
    <row r="271" spans="1:4" ht="13.5">
      <c r="A271" s="176" t="s">
        <v>91</v>
      </c>
      <c r="B271" s="177">
        <v>0</v>
      </c>
      <c r="C271" s="183" t="s">
        <v>825</v>
      </c>
      <c r="D271" s="179">
        <v>109175.67</v>
      </c>
    </row>
    <row r="272" spans="1:4" ht="13.5">
      <c r="A272" s="176" t="s">
        <v>92</v>
      </c>
      <c r="B272" s="177">
        <v>9</v>
      </c>
      <c r="C272" s="184" t="s">
        <v>826</v>
      </c>
      <c r="D272" s="179">
        <v>109175.67</v>
      </c>
    </row>
    <row r="273" spans="1:4" ht="13.5">
      <c r="A273" s="176" t="s">
        <v>93</v>
      </c>
      <c r="B273" s="177">
        <v>0</v>
      </c>
      <c r="C273" s="182" t="s">
        <v>94</v>
      </c>
      <c r="D273" s="179">
        <v>5046899.2</v>
      </c>
    </row>
    <row r="274" spans="1:4" ht="13.5">
      <c r="A274" s="176" t="s">
        <v>95</v>
      </c>
      <c r="B274" s="177">
        <v>2</v>
      </c>
      <c r="C274" s="183" t="s">
        <v>94</v>
      </c>
      <c r="D274" s="179">
        <v>5046899.2</v>
      </c>
    </row>
    <row r="275" spans="1:4" ht="13.5">
      <c r="A275" s="176" t="s">
        <v>96</v>
      </c>
      <c r="B275" s="177">
        <v>0</v>
      </c>
      <c r="C275" s="184" t="s">
        <v>827</v>
      </c>
      <c r="D275" s="179">
        <v>1204340.7</v>
      </c>
    </row>
    <row r="276" spans="1:4" ht="13.5">
      <c r="A276" s="176" t="s">
        <v>97</v>
      </c>
      <c r="B276" s="177">
        <v>9</v>
      </c>
      <c r="C276" s="184" t="s">
        <v>828</v>
      </c>
      <c r="D276" s="179">
        <v>1876588.06</v>
      </c>
    </row>
    <row r="277" spans="1:4" ht="13.5">
      <c r="A277" s="176" t="s">
        <v>98</v>
      </c>
      <c r="B277" s="177">
        <v>7</v>
      </c>
      <c r="C277" s="184" t="s">
        <v>901</v>
      </c>
      <c r="D277" s="179">
        <v>45508.79</v>
      </c>
    </row>
    <row r="278" spans="1:4" ht="13.5">
      <c r="A278" s="176" t="s">
        <v>99</v>
      </c>
      <c r="B278" s="177">
        <v>5</v>
      </c>
      <c r="C278" s="184" t="s">
        <v>902</v>
      </c>
      <c r="D278" s="179">
        <v>38736.33</v>
      </c>
    </row>
    <row r="279" spans="1:4" ht="13.5">
      <c r="A279" s="176" t="s">
        <v>100</v>
      </c>
      <c r="B279" s="177">
        <v>1</v>
      </c>
      <c r="C279" s="184" t="s">
        <v>829</v>
      </c>
      <c r="D279" s="179">
        <v>1169744.3400000001</v>
      </c>
    </row>
    <row r="280" spans="1:4" ht="13.5">
      <c r="A280" s="176" t="s">
        <v>101</v>
      </c>
      <c r="B280" s="177">
        <v>8</v>
      </c>
      <c r="C280" s="184" t="s">
        <v>830</v>
      </c>
      <c r="D280" s="179">
        <v>63096.26</v>
      </c>
    </row>
    <row r="281" spans="1:4" ht="13.5">
      <c r="A281" s="176" t="s">
        <v>102</v>
      </c>
      <c r="B281" s="177">
        <v>4</v>
      </c>
      <c r="C281" s="184" t="s">
        <v>831</v>
      </c>
      <c r="D281" s="179">
        <v>378577.49</v>
      </c>
    </row>
    <row r="282" spans="1:4" ht="13.5">
      <c r="A282" s="176" t="s">
        <v>103</v>
      </c>
      <c r="B282" s="177">
        <v>2</v>
      </c>
      <c r="C282" s="184" t="s">
        <v>832</v>
      </c>
      <c r="D282" s="179">
        <v>158052.79999999999</v>
      </c>
    </row>
    <row r="283" spans="1:4" ht="13.5">
      <c r="A283" s="176" t="s">
        <v>104</v>
      </c>
      <c r="B283" s="177">
        <v>0</v>
      </c>
      <c r="C283" s="184" t="s">
        <v>903</v>
      </c>
      <c r="D283" s="179">
        <v>37851.33</v>
      </c>
    </row>
    <row r="284" spans="1:4" ht="13.5">
      <c r="A284" s="176" t="s">
        <v>105</v>
      </c>
      <c r="B284" s="177">
        <v>9</v>
      </c>
      <c r="C284" s="184" t="s">
        <v>904</v>
      </c>
      <c r="D284" s="179">
        <v>3.41</v>
      </c>
    </row>
    <row r="285" spans="1:4" ht="13.5">
      <c r="A285" s="176" t="s">
        <v>476</v>
      </c>
      <c r="B285" s="177">
        <v>1</v>
      </c>
      <c r="C285" s="184" t="s">
        <v>1046</v>
      </c>
      <c r="D285" s="179">
        <v>74399.69</v>
      </c>
    </row>
    <row r="286" spans="1:4" ht="13.5">
      <c r="A286" s="176" t="s">
        <v>605</v>
      </c>
      <c r="B286" s="177">
        <v>4</v>
      </c>
      <c r="C286" s="182" t="s">
        <v>950</v>
      </c>
      <c r="D286" s="179">
        <v>10437</v>
      </c>
    </row>
    <row r="287" spans="1:4" ht="13.5">
      <c r="A287" s="176" t="s">
        <v>951</v>
      </c>
      <c r="B287" s="177">
        <v>0</v>
      </c>
      <c r="C287" s="183" t="s">
        <v>1047</v>
      </c>
      <c r="D287" s="179">
        <v>10437</v>
      </c>
    </row>
    <row r="288" spans="1:4" ht="13.5">
      <c r="A288" s="176" t="s">
        <v>953</v>
      </c>
      <c r="B288" s="177">
        <v>0</v>
      </c>
      <c r="C288" s="184" t="s">
        <v>1048</v>
      </c>
      <c r="D288" s="179">
        <v>10437</v>
      </c>
    </row>
    <row r="289" spans="1:4" ht="13.5">
      <c r="A289" s="176" t="s">
        <v>755</v>
      </c>
      <c r="B289" s="177">
        <v>6</v>
      </c>
      <c r="C289" s="182" t="s">
        <v>833</v>
      </c>
      <c r="D289" s="179">
        <v>89428.82</v>
      </c>
    </row>
    <row r="290" spans="1:4" ht="13.5">
      <c r="A290" s="176" t="s">
        <v>756</v>
      </c>
      <c r="B290" s="177">
        <v>1</v>
      </c>
      <c r="C290" s="183" t="s">
        <v>833</v>
      </c>
      <c r="D290" s="179">
        <v>89428.82</v>
      </c>
    </row>
    <row r="291" spans="1:4" ht="13.5">
      <c r="A291" s="176" t="s">
        <v>757</v>
      </c>
      <c r="B291" s="177">
        <v>0</v>
      </c>
      <c r="C291" s="184" t="s">
        <v>790</v>
      </c>
      <c r="D291" s="179">
        <v>89428.82</v>
      </c>
    </row>
    <row r="292" spans="1:4" ht="13.5">
      <c r="A292" s="176" t="s">
        <v>106</v>
      </c>
      <c r="B292" s="177">
        <v>8</v>
      </c>
      <c r="C292" s="182" t="s">
        <v>107</v>
      </c>
      <c r="D292" s="179">
        <v>35912.519999999997</v>
      </c>
    </row>
    <row r="293" spans="1:4" ht="13.5">
      <c r="A293" s="176" t="s">
        <v>108</v>
      </c>
      <c r="B293" s="177">
        <v>0</v>
      </c>
      <c r="C293" s="183" t="s">
        <v>834</v>
      </c>
      <c r="D293" s="179">
        <v>35912.519999999997</v>
      </c>
    </row>
    <row r="294" spans="1:4" ht="13.5">
      <c r="A294" s="176" t="s">
        <v>109</v>
      </c>
      <c r="B294" s="177">
        <v>8</v>
      </c>
      <c r="C294" s="184" t="s">
        <v>835</v>
      </c>
      <c r="D294" s="179">
        <v>35912.519999999997</v>
      </c>
    </row>
    <row r="295" spans="1:4" ht="13.5">
      <c r="A295" s="176" t="s">
        <v>110</v>
      </c>
      <c r="B295" s="177">
        <v>1</v>
      </c>
      <c r="C295" s="182" t="s">
        <v>111</v>
      </c>
      <c r="D295" s="179">
        <v>2511011.23</v>
      </c>
    </row>
    <row r="296" spans="1:4" ht="13.5">
      <c r="A296" s="176" t="s">
        <v>112</v>
      </c>
      <c r="B296" s="177">
        <v>2</v>
      </c>
      <c r="C296" s="183" t="s">
        <v>1054</v>
      </c>
      <c r="D296" s="179">
        <v>2511011.23</v>
      </c>
    </row>
    <row r="297" spans="1:4" ht="13.5">
      <c r="A297" s="176" t="s">
        <v>113</v>
      </c>
      <c r="B297" s="177">
        <v>0</v>
      </c>
      <c r="C297" s="184" t="s">
        <v>1055</v>
      </c>
      <c r="D297" s="179">
        <v>2511011.23</v>
      </c>
    </row>
    <row r="298" spans="1:4" ht="13.5">
      <c r="A298" s="176" t="s">
        <v>114</v>
      </c>
      <c r="B298" s="177">
        <v>9</v>
      </c>
      <c r="C298" s="182" t="s">
        <v>115</v>
      </c>
      <c r="D298" s="179">
        <v>334.63</v>
      </c>
    </row>
    <row r="299" spans="1:4" ht="13.5">
      <c r="A299" s="176" t="s">
        <v>116</v>
      </c>
      <c r="B299" s="177">
        <v>0</v>
      </c>
      <c r="C299" s="183" t="s">
        <v>115</v>
      </c>
      <c r="D299" s="179">
        <v>334.63</v>
      </c>
    </row>
    <row r="300" spans="1:4" ht="13.5">
      <c r="A300" s="176" t="s">
        <v>117</v>
      </c>
      <c r="B300" s="177">
        <v>6</v>
      </c>
      <c r="C300" s="184" t="s">
        <v>679</v>
      </c>
      <c r="D300" s="179">
        <v>334.63</v>
      </c>
    </row>
    <row r="301" spans="1:4" ht="13.5">
      <c r="A301" s="176" t="s">
        <v>118</v>
      </c>
      <c r="B301" s="177">
        <v>4</v>
      </c>
      <c r="C301" s="182" t="s">
        <v>119</v>
      </c>
      <c r="D301" s="179">
        <v>204889.96</v>
      </c>
    </row>
    <row r="302" spans="1:4" ht="13.5">
      <c r="A302" s="176" t="s">
        <v>120</v>
      </c>
      <c r="B302" s="177">
        <v>5</v>
      </c>
      <c r="C302" s="183" t="s">
        <v>1056</v>
      </c>
      <c r="D302" s="179">
        <v>204889.96</v>
      </c>
    </row>
    <row r="303" spans="1:4" ht="13.5">
      <c r="A303" s="176" t="s">
        <v>121</v>
      </c>
      <c r="B303" s="177">
        <v>3</v>
      </c>
      <c r="C303" s="184" t="s">
        <v>1195</v>
      </c>
      <c r="D303" s="179">
        <v>204889.96</v>
      </c>
    </row>
    <row r="304" spans="1:4" ht="13.5">
      <c r="A304" s="176" t="s">
        <v>122</v>
      </c>
      <c r="B304" s="177">
        <v>0</v>
      </c>
      <c r="C304" s="182" t="s">
        <v>123</v>
      </c>
      <c r="D304" s="179">
        <v>211871.09</v>
      </c>
    </row>
    <row r="305" spans="1:4" ht="13.5">
      <c r="A305" s="176" t="s">
        <v>124</v>
      </c>
      <c r="B305" s="177">
        <v>7</v>
      </c>
      <c r="C305" s="183" t="s">
        <v>836</v>
      </c>
      <c r="D305" s="179">
        <v>211871.09</v>
      </c>
    </row>
    <row r="306" spans="1:4" ht="13.5">
      <c r="A306" s="176" t="s">
        <v>125</v>
      </c>
      <c r="B306" s="177">
        <v>6</v>
      </c>
      <c r="C306" s="184" t="s">
        <v>1057</v>
      </c>
      <c r="D306" s="179">
        <v>211871.09</v>
      </c>
    </row>
    <row r="307" spans="1:4" ht="13.5">
      <c r="A307" s="176" t="s">
        <v>126</v>
      </c>
      <c r="B307" s="177">
        <v>4</v>
      </c>
      <c r="C307" s="181" t="s">
        <v>127</v>
      </c>
      <c r="D307" s="179">
        <v>37906576.969999999</v>
      </c>
    </row>
    <row r="308" spans="1:4" ht="13.5">
      <c r="A308" s="176" t="s">
        <v>1058</v>
      </c>
      <c r="B308" s="177">
        <v>5</v>
      </c>
      <c r="C308" s="182" t="s">
        <v>1059</v>
      </c>
      <c r="D308" s="179">
        <v>37906576.969999999</v>
      </c>
    </row>
    <row r="309" spans="1:4" ht="13.5">
      <c r="A309" s="176" t="s">
        <v>1060</v>
      </c>
      <c r="B309" s="177">
        <v>6</v>
      </c>
      <c r="C309" s="183" t="s">
        <v>1061</v>
      </c>
      <c r="D309" s="179">
        <v>37906576.969999999</v>
      </c>
    </row>
    <row r="310" spans="1:4" ht="13.5">
      <c r="A310" s="176" t="s">
        <v>1062</v>
      </c>
      <c r="B310" s="177">
        <v>3</v>
      </c>
      <c r="C310" s="184" t="s">
        <v>1196</v>
      </c>
      <c r="D310" s="179">
        <v>37906576.969999999</v>
      </c>
    </row>
    <row r="311" spans="1:4" ht="13.5">
      <c r="A311" s="176" t="s">
        <v>337</v>
      </c>
      <c r="B311" s="177">
        <v>2</v>
      </c>
      <c r="C311" s="181" t="s">
        <v>132</v>
      </c>
      <c r="D311" s="179">
        <v>6859732.1299999999</v>
      </c>
    </row>
    <row r="312" spans="1:4" ht="13.5">
      <c r="A312" s="176" t="s">
        <v>133</v>
      </c>
      <c r="B312" s="177">
        <v>3</v>
      </c>
      <c r="C312" s="182" t="s">
        <v>134</v>
      </c>
      <c r="D312" s="179">
        <v>4350874.49</v>
      </c>
    </row>
    <row r="313" spans="1:4" ht="13.5">
      <c r="A313" s="176" t="s">
        <v>135</v>
      </c>
      <c r="B313" s="177">
        <v>5</v>
      </c>
      <c r="C313" s="183" t="s">
        <v>134</v>
      </c>
      <c r="D313" s="179">
        <v>4350874.49</v>
      </c>
    </row>
    <row r="314" spans="1:4" ht="13.5">
      <c r="A314" s="176" t="s">
        <v>136</v>
      </c>
      <c r="B314" s="177">
        <v>3</v>
      </c>
      <c r="C314" s="184" t="s">
        <v>134</v>
      </c>
      <c r="D314" s="179">
        <v>4350874.49</v>
      </c>
    </row>
    <row r="315" spans="1:4" ht="13.5">
      <c r="A315" s="176" t="s">
        <v>137</v>
      </c>
      <c r="B315" s="177">
        <v>7</v>
      </c>
      <c r="C315" s="182" t="s">
        <v>138</v>
      </c>
      <c r="D315" s="179">
        <v>751202.59</v>
      </c>
    </row>
    <row r="316" spans="1:4" ht="13.5">
      <c r="A316" s="176" t="s">
        <v>139</v>
      </c>
      <c r="B316" s="177">
        <v>9</v>
      </c>
      <c r="C316" s="183" t="s">
        <v>138</v>
      </c>
      <c r="D316" s="179">
        <v>751202.59</v>
      </c>
    </row>
    <row r="317" spans="1:4" ht="13.5">
      <c r="A317" s="176" t="s">
        <v>140</v>
      </c>
      <c r="B317" s="177">
        <v>7</v>
      </c>
      <c r="C317" s="184" t="s">
        <v>837</v>
      </c>
      <c r="D317" s="179">
        <v>751202.59</v>
      </c>
    </row>
    <row r="318" spans="1:4" ht="13.5">
      <c r="A318" s="176" t="s">
        <v>141</v>
      </c>
      <c r="B318" s="177">
        <v>6</v>
      </c>
      <c r="C318" s="182" t="s">
        <v>132</v>
      </c>
      <c r="D318" s="179">
        <v>1757655.05</v>
      </c>
    </row>
    <row r="319" spans="1:4" ht="13.5">
      <c r="A319" s="176" t="s">
        <v>142</v>
      </c>
      <c r="B319" s="177">
        <v>3</v>
      </c>
      <c r="C319" s="183" t="s">
        <v>132</v>
      </c>
      <c r="D319" s="179">
        <v>1757655.05</v>
      </c>
    </row>
    <row r="320" spans="1:4" ht="13.5">
      <c r="A320" s="176" t="s">
        <v>144</v>
      </c>
      <c r="B320" s="177">
        <v>1</v>
      </c>
      <c r="C320" s="184" t="s">
        <v>838</v>
      </c>
      <c r="D320" s="179">
        <v>880.64</v>
      </c>
    </row>
    <row r="321" spans="1:4" ht="13.5">
      <c r="A321" s="176" t="s">
        <v>145</v>
      </c>
      <c r="B321" s="177">
        <v>6</v>
      </c>
      <c r="C321" s="184" t="s">
        <v>1066</v>
      </c>
      <c r="D321" s="179">
        <v>16094.84</v>
      </c>
    </row>
    <row r="322" spans="1:4" ht="13.5">
      <c r="A322" s="176" t="s">
        <v>146</v>
      </c>
      <c r="B322" s="177">
        <v>4</v>
      </c>
      <c r="C322" s="184" t="s">
        <v>839</v>
      </c>
      <c r="D322" s="179">
        <v>1740679.57</v>
      </c>
    </row>
    <row r="323" spans="1:4" ht="13.5">
      <c r="A323" s="176" t="s">
        <v>147</v>
      </c>
      <c r="B323" s="177">
        <v>7</v>
      </c>
      <c r="C323" s="180" t="s">
        <v>148</v>
      </c>
      <c r="D323" s="179">
        <v>26281748.420000002</v>
      </c>
    </row>
    <row r="324" spans="1:4" ht="13.5">
      <c r="A324" s="176" t="s">
        <v>149</v>
      </c>
      <c r="B324" s="177">
        <v>0</v>
      </c>
      <c r="C324" s="181" t="s">
        <v>150</v>
      </c>
      <c r="D324" s="179">
        <v>26281748.420000002</v>
      </c>
    </row>
    <row r="325" spans="1:4" ht="13.5">
      <c r="A325" s="176" t="s">
        <v>151</v>
      </c>
      <c r="B325" s="177">
        <v>3</v>
      </c>
      <c r="C325" s="182" t="s">
        <v>150</v>
      </c>
      <c r="D325" s="179">
        <v>19318462.07</v>
      </c>
    </row>
    <row r="326" spans="1:4" ht="13.5">
      <c r="A326" s="176" t="s">
        <v>341</v>
      </c>
      <c r="B326" s="177">
        <v>5</v>
      </c>
      <c r="C326" s="183" t="s">
        <v>150</v>
      </c>
      <c r="D326" s="179">
        <v>19317741.02</v>
      </c>
    </row>
    <row r="327" spans="1:4" ht="13.5">
      <c r="A327" s="176" t="s">
        <v>152</v>
      </c>
      <c r="B327" s="177">
        <v>3</v>
      </c>
      <c r="C327" s="184" t="s">
        <v>150</v>
      </c>
      <c r="D327" s="179">
        <v>19317741.02</v>
      </c>
    </row>
    <row r="328" spans="1:4" ht="13.5">
      <c r="A328" s="176" t="s">
        <v>153</v>
      </c>
      <c r="B328" s="177">
        <v>6</v>
      </c>
      <c r="C328" s="183" t="s">
        <v>840</v>
      </c>
      <c r="D328" s="179">
        <v>721.05</v>
      </c>
    </row>
    <row r="329" spans="1:4" ht="13.5">
      <c r="A329" s="176" t="s">
        <v>343</v>
      </c>
      <c r="B329" s="177">
        <v>4</v>
      </c>
      <c r="C329" s="184" t="s">
        <v>841</v>
      </c>
      <c r="D329" s="179">
        <v>721.05</v>
      </c>
    </row>
    <row r="330" spans="1:4" ht="13.5">
      <c r="A330" s="176" t="s">
        <v>154</v>
      </c>
      <c r="B330" s="177">
        <v>7</v>
      </c>
      <c r="C330" s="182" t="s">
        <v>155</v>
      </c>
      <c r="D330" s="179">
        <v>6963286.3499999996</v>
      </c>
    </row>
    <row r="331" spans="1:4" ht="13.5">
      <c r="A331" s="176" t="s">
        <v>342</v>
      </c>
      <c r="B331" s="177">
        <v>9</v>
      </c>
      <c r="C331" s="183" t="s">
        <v>155</v>
      </c>
      <c r="D331" s="179">
        <v>6963026.7699999996</v>
      </c>
    </row>
    <row r="332" spans="1:4" ht="13.5">
      <c r="A332" s="176" t="s">
        <v>156</v>
      </c>
      <c r="B332" s="177">
        <v>7</v>
      </c>
      <c r="C332" s="184" t="s">
        <v>155</v>
      </c>
      <c r="D332" s="179">
        <v>6963026.7699999996</v>
      </c>
    </row>
    <row r="333" spans="1:4" ht="13.5">
      <c r="A333" s="176" t="s">
        <v>157</v>
      </c>
      <c r="B333" s="177">
        <v>0</v>
      </c>
      <c r="C333" s="183" t="s">
        <v>842</v>
      </c>
      <c r="D333" s="179">
        <v>259.58</v>
      </c>
    </row>
    <row r="334" spans="1:4" ht="13.5">
      <c r="A334" s="176" t="s">
        <v>344</v>
      </c>
      <c r="B334" s="177">
        <v>8</v>
      </c>
      <c r="C334" s="184" t="s">
        <v>843</v>
      </c>
      <c r="D334" s="179">
        <v>259.58</v>
      </c>
    </row>
    <row r="335" spans="1:4" ht="13.5">
      <c r="A335" s="176" t="s">
        <v>1197</v>
      </c>
      <c r="B335" s="177">
        <v>8</v>
      </c>
      <c r="C335" s="178" t="s">
        <v>626</v>
      </c>
      <c r="D335" s="179">
        <v>122146286.18000001</v>
      </c>
    </row>
    <row r="336" spans="1:4" ht="13.5">
      <c r="A336" s="176" t="s">
        <v>640</v>
      </c>
      <c r="B336" s="177">
        <v>8</v>
      </c>
      <c r="C336" s="180" t="s">
        <v>626</v>
      </c>
      <c r="D336" s="179">
        <v>122146286.18000001</v>
      </c>
    </row>
    <row r="337" spans="1:4" ht="13.5">
      <c r="A337" s="176" t="s">
        <v>641</v>
      </c>
      <c r="B337" s="177">
        <v>1</v>
      </c>
      <c r="C337" s="181" t="s">
        <v>629</v>
      </c>
      <c r="D337" s="179">
        <v>122146286.18000001</v>
      </c>
    </row>
    <row r="338" spans="1:4" ht="13.5">
      <c r="A338" s="176" t="s">
        <v>642</v>
      </c>
      <c r="B338" s="177">
        <v>5</v>
      </c>
      <c r="C338" s="182" t="s">
        <v>643</v>
      </c>
      <c r="D338" s="179">
        <v>122146286.18000001</v>
      </c>
    </row>
    <row r="339" spans="1:4" ht="13.5">
      <c r="A339" s="176" t="s">
        <v>644</v>
      </c>
      <c r="B339" s="177">
        <v>1</v>
      </c>
      <c r="C339" s="183" t="s">
        <v>645</v>
      </c>
      <c r="D339" s="179">
        <v>122146286.18000001</v>
      </c>
    </row>
    <row r="340" spans="1:4" ht="13.5">
      <c r="A340" s="176" t="s">
        <v>646</v>
      </c>
      <c r="B340" s="177">
        <v>6</v>
      </c>
      <c r="C340" s="184" t="s">
        <v>647</v>
      </c>
      <c r="D340" s="179">
        <v>42865000</v>
      </c>
    </row>
    <row r="341" spans="1:4" ht="13.5">
      <c r="A341" s="176" t="s">
        <v>648</v>
      </c>
      <c r="B341" s="177">
        <v>4</v>
      </c>
      <c r="C341" s="184" t="s">
        <v>649</v>
      </c>
      <c r="D341" s="179">
        <v>79281286.180000007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9"/>
  <dimension ref="A1:M226"/>
  <sheetViews>
    <sheetView showGridLines="0" zoomScale="115" zoomScaleNormal="115" workbookViewId="0">
      <selection activeCell="H96" activeCellId="1" sqref="H85 H96"/>
    </sheetView>
  </sheetViews>
  <sheetFormatPr defaultRowHeight="12.75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5703125" style="34" bestFit="1" customWidth="1"/>
    <col min="5" max="5" width="12.5703125" style="1" bestFit="1" customWidth="1"/>
    <col min="6" max="6" width="12.5703125" style="1" customWidth="1"/>
    <col min="7" max="7" width="12.5703125" style="1" bestFit="1" customWidth="1"/>
    <col min="8" max="8" width="16.5703125" style="34" bestFit="1" customWidth="1"/>
    <col min="9" max="9" width="14.140625" bestFit="1" customWidth="1"/>
    <col min="10" max="10" width="15.140625" bestFit="1" customWidth="1"/>
  </cols>
  <sheetData>
    <row r="1" spans="1:13">
      <c r="A1" s="466" t="s">
        <v>593</v>
      </c>
      <c r="B1" s="466"/>
      <c r="C1" s="31" t="s">
        <v>594</v>
      </c>
      <c r="D1" s="33" t="s">
        <v>1114</v>
      </c>
      <c r="E1" s="32" t="s">
        <v>595</v>
      </c>
      <c r="F1" s="32" t="s">
        <v>599</v>
      </c>
      <c r="G1" s="32" t="s">
        <v>612</v>
      </c>
      <c r="H1" s="33" t="s">
        <v>1115</v>
      </c>
    </row>
    <row r="2" spans="1:13">
      <c r="A2" s="84">
        <v>1</v>
      </c>
      <c r="B2" s="78">
        <v>-7</v>
      </c>
      <c r="C2" s="78" t="s">
        <v>346</v>
      </c>
      <c r="D2" s="80">
        <f>IFERROR(VLOOKUP($A2,'Balancete 2015'!$A:$D,4,0), "0")</f>
        <v>1500896499.3099999</v>
      </c>
      <c r="E2" s="81"/>
      <c r="F2" s="81"/>
      <c r="G2" s="81"/>
      <c r="H2" s="80">
        <f>IFERROR(VLOOKUP($A2,'Balancete 2016'!$A:$D,4,0), "0")</f>
        <v>1632038031.6600001</v>
      </c>
      <c r="J2" s="57"/>
      <c r="K2" s="58"/>
      <c r="L2" s="58"/>
      <c r="M2" s="59"/>
    </row>
    <row r="3" spans="1:13">
      <c r="A3" s="84" t="s">
        <v>315</v>
      </c>
      <c r="B3" s="78">
        <v>-4</v>
      </c>
      <c r="C3" s="78" t="s">
        <v>347</v>
      </c>
      <c r="D3" s="80">
        <f>IFERROR(VLOOKUP($A3,'Balancete 2015'!$A:$D,4,0), "0")</f>
        <v>578.22</v>
      </c>
      <c r="E3" s="81"/>
      <c r="F3" s="81"/>
      <c r="G3" s="81" t="s">
        <v>596</v>
      </c>
      <c r="H3" s="80">
        <f>IFERROR(VLOOKUP($A3,'Balancete 2016'!$A:$D,4,0), "0")</f>
        <v>687.88</v>
      </c>
      <c r="J3" s="57"/>
      <c r="K3" s="58"/>
      <c r="L3" s="58"/>
      <c r="M3" s="59"/>
    </row>
    <row r="4" spans="1:13">
      <c r="A4" s="84" t="s">
        <v>348</v>
      </c>
      <c r="B4" s="78">
        <v>-2</v>
      </c>
      <c r="C4" s="78" t="s">
        <v>349</v>
      </c>
      <c r="D4" s="80">
        <f>IFERROR(VLOOKUP($A4,'Balancete 2015'!$A:$D,4,0), "0")</f>
        <v>526.24</v>
      </c>
      <c r="E4" s="81">
        <v>100</v>
      </c>
      <c r="F4" s="81"/>
      <c r="G4" s="81"/>
      <c r="H4" s="80">
        <f>IFERROR(VLOOKUP($A4,'Balancete 2016'!$A:$D,4,0), "0")</f>
        <v>635.9</v>
      </c>
      <c r="J4" s="57"/>
      <c r="K4" s="58"/>
      <c r="L4" s="58"/>
      <c r="M4" s="59"/>
    </row>
    <row r="5" spans="1:13">
      <c r="A5" s="84" t="s">
        <v>350</v>
      </c>
      <c r="B5" s="78">
        <v>0</v>
      </c>
      <c r="C5" s="78" t="s">
        <v>351</v>
      </c>
      <c r="D5" s="80">
        <f>IFERROR(VLOOKUP($A5,'Balancete 2015'!$A:$D,4,0), "0")</f>
        <v>526.24</v>
      </c>
      <c r="E5" s="81"/>
      <c r="F5" s="81"/>
      <c r="G5" s="81"/>
      <c r="H5" s="80">
        <f>IFERROR(VLOOKUP($A5,'Balancete 2016'!$A:$D,4,0), "0")</f>
        <v>635.9</v>
      </c>
      <c r="J5" s="57"/>
      <c r="K5" s="58"/>
      <c r="L5" s="58"/>
      <c r="M5" s="59"/>
    </row>
    <row r="6" spans="1:13">
      <c r="A6" s="84" t="s">
        <v>352</v>
      </c>
      <c r="B6" s="78">
        <v>-5</v>
      </c>
      <c r="C6" s="78" t="s">
        <v>351</v>
      </c>
      <c r="D6" s="80">
        <f>IFERROR(VLOOKUP($A6,'Balancete 2015'!$A:$D,4,0), "0")</f>
        <v>526.24</v>
      </c>
      <c r="E6" s="81"/>
      <c r="F6" s="81"/>
      <c r="G6" s="81"/>
      <c r="H6" s="80">
        <f>IFERROR(VLOOKUP($A6,'Balancete 2016'!$A:$D,4,0), "0")</f>
        <v>635.9</v>
      </c>
      <c r="J6" s="57"/>
      <c r="K6" s="58"/>
      <c r="L6" s="58"/>
      <c r="M6" s="59"/>
    </row>
    <row r="7" spans="1:13">
      <c r="A7" s="84" t="s">
        <v>353</v>
      </c>
      <c r="B7" s="78">
        <v>-3</v>
      </c>
      <c r="C7" s="78" t="s">
        <v>370</v>
      </c>
      <c r="D7" s="80">
        <f>IFERROR(VLOOKUP($A7,'Balancete 2015'!$A:$D,4,0), "0")</f>
        <v>526.24</v>
      </c>
      <c r="E7" s="81"/>
      <c r="F7" s="81"/>
      <c r="G7" s="81"/>
      <c r="H7" s="80">
        <f>IFERROR(VLOOKUP($A7,'Balancete 2016'!$A:$D,4,0), "0")</f>
        <v>635.9</v>
      </c>
      <c r="J7" s="57"/>
      <c r="K7" s="58"/>
      <c r="L7" s="58"/>
      <c r="M7" s="59"/>
    </row>
    <row r="8" spans="1:13">
      <c r="A8" s="84" t="s">
        <v>354</v>
      </c>
      <c r="B8" s="78">
        <v>0</v>
      </c>
      <c r="C8" s="78" t="s">
        <v>355</v>
      </c>
      <c r="D8" s="80">
        <f>IFERROR(VLOOKUP($A8,'Balancete 2015'!$A:$D,4,0), "0")</f>
        <v>51.98</v>
      </c>
      <c r="E8" s="81">
        <v>100</v>
      </c>
      <c r="F8" s="81"/>
      <c r="G8" s="81"/>
      <c r="H8" s="80">
        <f>IFERROR(VLOOKUP($A8,'Balancete 2016'!$A:$D,4,0), "0")</f>
        <v>51.98</v>
      </c>
      <c r="J8" s="57"/>
      <c r="K8" s="58"/>
      <c r="L8" s="58"/>
      <c r="M8" s="59"/>
    </row>
    <row r="9" spans="1:13">
      <c r="A9" s="84" t="s">
        <v>356</v>
      </c>
      <c r="B9" s="78">
        <v>-2</v>
      </c>
      <c r="C9" s="78" t="s">
        <v>371</v>
      </c>
      <c r="D9" s="80">
        <f>IFERROR(VLOOKUP($A9,'Balancete 2015'!$A:$D,4,0), "0")</f>
        <v>51.98</v>
      </c>
      <c r="E9" s="81"/>
      <c r="F9" s="81"/>
      <c r="G9" s="81"/>
      <c r="H9" s="80">
        <f>IFERROR(VLOOKUP($A9,'Balancete 2016'!$A:$D,4,0), "0")</f>
        <v>51.98</v>
      </c>
      <c r="J9" s="57"/>
      <c r="K9" s="58"/>
      <c r="L9" s="58"/>
      <c r="M9" s="59"/>
    </row>
    <row r="10" spans="1:13">
      <c r="A10" s="84" t="s">
        <v>357</v>
      </c>
      <c r="B10" s="78">
        <v>-8</v>
      </c>
      <c r="C10" s="78" t="s">
        <v>371</v>
      </c>
      <c r="D10" s="80">
        <f>IFERROR(VLOOKUP($A10,'Balancete 2015'!$A:$D,4,0), "0")</f>
        <v>51.98</v>
      </c>
      <c r="E10" s="81"/>
      <c r="F10" s="81"/>
      <c r="G10" s="81"/>
      <c r="H10" s="80">
        <f>IFERROR(VLOOKUP($A10,'Balancete 2016'!$A:$D,4,0), "0")</f>
        <v>51.98</v>
      </c>
      <c r="J10" s="57"/>
      <c r="K10" s="58"/>
      <c r="L10" s="58"/>
      <c r="M10" s="59"/>
    </row>
    <row r="11" spans="1:13">
      <c r="A11" s="84" t="s">
        <v>358</v>
      </c>
      <c r="B11" s="78">
        <v>-6</v>
      </c>
      <c r="C11" s="78" t="s">
        <v>371</v>
      </c>
      <c r="D11" s="80">
        <f>IFERROR(VLOOKUP($A11,'Balancete 2015'!$A:$D,4,0), "0")</f>
        <v>51.98</v>
      </c>
      <c r="E11" s="81"/>
      <c r="F11" s="81"/>
      <c r="G11" s="81"/>
      <c r="H11" s="80">
        <f>IFERROR(VLOOKUP($A11,'Balancete 2016'!$A:$D,4,0), "0")</f>
        <v>51.98</v>
      </c>
      <c r="J11" s="57"/>
      <c r="K11" s="58"/>
      <c r="L11" s="58"/>
      <c r="M11" s="59"/>
    </row>
    <row r="12" spans="1:13">
      <c r="A12" s="84" t="s">
        <v>316</v>
      </c>
      <c r="B12" s="78">
        <v>-1</v>
      </c>
      <c r="C12" s="78" t="s">
        <v>359</v>
      </c>
      <c r="D12" s="80">
        <f>IFERROR(VLOOKUP($A12,'Balancete 2015'!$A:$D,4,0), "0")</f>
        <v>103286039.34999999</v>
      </c>
      <c r="E12" s="81">
        <v>100</v>
      </c>
      <c r="F12" s="81"/>
      <c r="G12" s="81"/>
      <c r="H12" s="80">
        <f>IFERROR(VLOOKUP($A12,'Balancete 2016'!$A:$D,4,0), "0")</f>
        <v>117751873.09999999</v>
      </c>
      <c r="J12" s="57"/>
      <c r="K12" s="58"/>
      <c r="L12" s="58"/>
      <c r="M12" s="59"/>
    </row>
    <row r="13" spans="1:13">
      <c r="A13" s="84" t="s">
        <v>360</v>
      </c>
      <c r="B13" s="78">
        <v>0</v>
      </c>
      <c r="C13" s="78" t="s">
        <v>361</v>
      </c>
      <c r="D13" s="80">
        <f>IFERROR(VLOOKUP($A13,'Balancete 2015'!$A:$D,4,0), "0")</f>
        <v>103286039.34999999</v>
      </c>
      <c r="E13" s="81"/>
      <c r="F13" s="81"/>
      <c r="G13" s="81"/>
      <c r="H13" s="80">
        <f>IFERROR(VLOOKUP($A13,'Balancete 2016'!$A:$D,4,0), "0")</f>
        <v>117751873.09999999</v>
      </c>
      <c r="J13" s="57"/>
      <c r="K13" s="58"/>
      <c r="L13" s="58"/>
      <c r="M13" s="59"/>
    </row>
    <row r="14" spans="1:13">
      <c r="A14" s="84" t="s">
        <v>362</v>
      </c>
      <c r="B14" s="78">
        <v>-3</v>
      </c>
      <c r="C14" s="78" t="s">
        <v>363</v>
      </c>
      <c r="D14" s="80">
        <f>IFERROR(VLOOKUP($A14,'Balancete 2015'!$A:$D,4,0), "0")</f>
        <v>103286039.34999999</v>
      </c>
      <c r="E14" s="81"/>
      <c r="F14" s="81"/>
      <c r="G14" s="81"/>
      <c r="H14" s="80">
        <f>IFERROR(VLOOKUP($A14,'Balancete 2016'!$A:$D,4,0), "0")</f>
        <v>117751873.09999999</v>
      </c>
      <c r="J14" s="57"/>
      <c r="K14" s="58"/>
      <c r="L14" s="58"/>
      <c r="M14" s="59"/>
    </row>
    <row r="15" spans="1:13">
      <c r="A15" s="84" t="s">
        <v>372</v>
      </c>
      <c r="B15" s="78">
        <v>-8</v>
      </c>
      <c r="C15" s="78" t="s">
        <v>373</v>
      </c>
      <c r="D15" s="80">
        <v>84760131.480000004</v>
      </c>
      <c r="E15" s="81"/>
      <c r="F15" s="81"/>
      <c r="G15" s="81"/>
      <c r="H15" s="80">
        <f>IFERROR(VLOOKUP($A15,'Balancete 2016'!$A:$D,4,0), "0")</f>
        <v>117751873.09999999</v>
      </c>
      <c r="J15" s="57"/>
      <c r="K15" s="58"/>
      <c r="L15" s="58"/>
      <c r="M15" s="59"/>
    </row>
    <row r="16" spans="1:13">
      <c r="A16" s="84" t="s">
        <v>374</v>
      </c>
      <c r="B16" s="78">
        <v>-9</v>
      </c>
      <c r="C16" s="78" t="s">
        <v>375</v>
      </c>
      <c r="D16" s="80">
        <f>IFERROR(VLOOKUP($A16,'Balancete 2015'!$A:$D,4,0), "0")</f>
        <v>103286039.34999999</v>
      </c>
      <c r="E16" s="81"/>
      <c r="F16" s="81"/>
      <c r="G16" s="81" t="s">
        <v>597</v>
      </c>
      <c r="H16" s="80">
        <f>IFERROR(VLOOKUP($A16,'Balancete 2016'!$A:$D,4,0), "0")</f>
        <v>117751873.09999999</v>
      </c>
      <c r="J16" s="57"/>
      <c r="K16" s="58"/>
      <c r="L16" s="58"/>
      <c r="M16" s="59"/>
    </row>
    <row r="17" spans="1:13">
      <c r="A17" s="84" t="s">
        <v>365</v>
      </c>
      <c r="B17" s="78">
        <v>-9</v>
      </c>
      <c r="C17" s="78" t="s">
        <v>366</v>
      </c>
      <c r="D17" s="80">
        <f>IFERROR(VLOOKUP($A17,'Balancete 2015'!$A:$D,4,0), "0")</f>
        <v>1362231400.8299999</v>
      </c>
      <c r="E17" s="81"/>
      <c r="F17" s="81"/>
      <c r="G17" s="81"/>
      <c r="H17" s="80">
        <f>IFERROR(VLOOKUP($A17,'Balancete 2016'!$A:$D,4,0), "0")</f>
        <v>1507348347.52</v>
      </c>
      <c r="J17" s="57"/>
      <c r="K17" s="58"/>
      <c r="L17" s="58"/>
      <c r="M17" s="59"/>
    </row>
    <row r="18" spans="1:13">
      <c r="A18" s="84" t="s">
        <v>367</v>
      </c>
      <c r="B18" s="78">
        <v>-7</v>
      </c>
      <c r="C18" s="78" t="s">
        <v>368</v>
      </c>
      <c r="D18" s="80">
        <f>IFERROR(VLOOKUP($A18,'Balancete 2015'!$A:$D,4,0), "0")</f>
        <v>1362231400.8299999</v>
      </c>
      <c r="E18" s="81"/>
      <c r="F18" s="81"/>
      <c r="G18" s="81"/>
      <c r="H18" s="80">
        <f>IFERROR(VLOOKUP($A18,'Balancete 2016'!$A:$D,4,0), "0")</f>
        <v>1507348347.52</v>
      </c>
      <c r="J18" s="57"/>
      <c r="K18" s="58"/>
      <c r="L18" s="58"/>
      <c r="M18" s="59"/>
    </row>
    <row r="19" spans="1:13">
      <c r="A19" s="84" t="s">
        <v>318</v>
      </c>
      <c r="B19" s="78">
        <v>0</v>
      </c>
      <c r="C19" s="78" t="s">
        <v>0</v>
      </c>
      <c r="D19" s="80">
        <f>IFERROR(VLOOKUP($A19,'Balancete 2015'!$A:$D,4,0), "0")</f>
        <v>612939699.64999998</v>
      </c>
      <c r="E19" s="81">
        <v>100</v>
      </c>
      <c r="F19" s="81"/>
      <c r="G19" s="81"/>
      <c r="H19" s="80">
        <f>IFERROR(VLOOKUP($A19,'Balancete 2016'!$A:$D,4,0), "0")</f>
        <v>688876225.20000005</v>
      </c>
      <c r="J19" s="57"/>
      <c r="K19" s="58"/>
      <c r="L19" s="58"/>
      <c r="M19" s="59"/>
    </row>
    <row r="20" spans="1:13">
      <c r="A20" s="84" t="s">
        <v>1</v>
      </c>
      <c r="B20" s="78">
        <v>-7</v>
      </c>
      <c r="C20" s="78" t="s">
        <v>2</v>
      </c>
      <c r="D20" s="80">
        <f>IFERROR(VLOOKUP($A20,'Balancete 2015'!$A:$D,4,0), "0")</f>
        <v>612939699.64999998</v>
      </c>
      <c r="E20" s="81"/>
      <c r="F20" s="81"/>
      <c r="G20" s="81"/>
      <c r="H20" s="80">
        <f>IFERROR(VLOOKUP($A20,'Balancete 2016'!$A:$D,4,0), "0")</f>
        <v>688876225.20000005</v>
      </c>
      <c r="J20" s="57"/>
      <c r="K20" s="58"/>
      <c r="L20" s="58"/>
      <c r="M20" s="59"/>
    </row>
    <row r="21" spans="1:13">
      <c r="A21" s="84" t="s">
        <v>3</v>
      </c>
      <c r="B21" s="78">
        <v>-5</v>
      </c>
      <c r="C21" s="78" t="s">
        <v>376</v>
      </c>
      <c r="D21" s="80">
        <f>IFERROR(VLOOKUP($A21,'Balancete 2015'!$A:$D,4,0), "0")</f>
        <v>612939699.64999998</v>
      </c>
      <c r="E21" s="81"/>
      <c r="F21" s="81"/>
      <c r="G21" s="81" t="s">
        <v>598</v>
      </c>
      <c r="H21" s="80">
        <f>IFERROR(VLOOKUP($A21,'Balancete 2016'!$A:$D,4,0), "0")</f>
        <v>688876225.20000005</v>
      </c>
      <c r="J21" s="57"/>
      <c r="K21" s="58"/>
      <c r="L21" s="58"/>
      <c r="M21" s="59"/>
    </row>
    <row r="22" spans="1:13">
      <c r="A22" s="84" t="s">
        <v>377</v>
      </c>
      <c r="B22" s="78">
        <v>-3</v>
      </c>
      <c r="C22" s="78" t="s">
        <v>378</v>
      </c>
      <c r="D22" s="80">
        <f>IFERROR(VLOOKUP($A22,'Balancete 2015'!$A:$D,4,0), "0")</f>
        <v>26092686.260000002</v>
      </c>
      <c r="E22" s="81">
        <v>100</v>
      </c>
      <c r="F22" s="81"/>
      <c r="G22" s="81"/>
      <c r="H22" s="80">
        <f>IFERROR(VLOOKUP($A22,'Balancete 2016'!$A:$D,4,0), "0")</f>
        <v>97899807.069999993</v>
      </c>
      <c r="J22" s="57"/>
      <c r="K22" s="58"/>
      <c r="L22" s="58"/>
      <c r="M22" s="59"/>
    </row>
    <row r="23" spans="1:13">
      <c r="A23" s="84" t="s">
        <v>379</v>
      </c>
      <c r="B23" s="78">
        <v>-6</v>
      </c>
      <c r="C23" s="78" t="s">
        <v>380</v>
      </c>
      <c r="D23" s="80">
        <f>IFERROR(VLOOKUP($A23,'Balancete 2015'!$A:$D,4,0), "0")</f>
        <v>26092686.260000002</v>
      </c>
      <c r="E23" s="81"/>
      <c r="F23" s="81"/>
      <c r="G23" s="81"/>
      <c r="H23" s="80">
        <f>IFERROR(VLOOKUP($A23,'Balancete 2016'!$A:$D,4,0), "0")</f>
        <v>97899807.069999993</v>
      </c>
      <c r="J23" s="57"/>
      <c r="K23" s="58"/>
      <c r="L23" s="58"/>
      <c r="M23" s="59"/>
    </row>
    <row r="24" spans="1:13">
      <c r="A24" s="84" t="s">
        <v>381</v>
      </c>
      <c r="B24" s="78">
        <v>-4</v>
      </c>
      <c r="C24" s="78" t="s">
        <v>382</v>
      </c>
      <c r="D24" s="80">
        <f>IFERROR(VLOOKUP($A24,'Balancete 2015'!$A:$D,4,0), "0")</f>
        <v>26092686.260000002</v>
      </c>
      <c r="E24" s="81"/>
      <c r="F24" s="81"/>
      <c r="G24" s="81" t="s">
        <v>600</v>
      </c>
      <c r="H24" s="80">
        <f>IFERROR(VLOOKUP($A24,'Balancete 2016'!$A:$D,4,0), "0")</f>
        <v>97899807.069999993</v>
      </c>
      <c r="J24" s="57"/>
      <c r="K24" s="58"/>
      <c r="L24" s="58"/>
      <c r="M24" s="59"/>
    </row>
    <row r="25" spans="1:13">
      <c r="A25" s="84" t="s">
        <v>317</v>
      </c>
      <c r="B25" s="78">
        <v>-4</v>
      </c>
      <c r="C25" s="78" t="s">
        <v>4</v>
      </c>
      <c r="D25" s="80">
        <f>IFERROR(VLOOKUP($A25,'Balancete 2015'!$A:$D,4,0), "0")</f>
        <v>723199014.91999996</v>
      </c>
      <c r="E25" s="81"/>
      <c r="F25" s="81"/>
      <c r="G25" s="81"/>
      <c r="H25" s="80">
        <f>IFERROR(VLOOKUP($A25,'Balancete 2016'!$A:$D,4,0), "0")</f>
        <v>720572315.25</v>
      </c>
      <c r="J25" s="57"/>
      <c r="K25" s="58"/>
      <c r="L25" s="58"/>
      <c r="M25" s="59"/>
    </row>
    <row r="26" spans="1:13">
      <c r="A26" s="84" t="s">
        <v>5</v>
      </c>
      <c r="B26" s="78">
        <v>0</v>
      </c>
      <c r="C26" s="78" t="s">
        <v>6</v>
      </c>
      <c r="D26" s="80">
        <f>IFERROR(VLOOKUP($A26,'Balancete 2015'!$A:$D,4,0), "0")</f>
        <v>723199014.91999996</v>
      </c>
      <c r="E26" s="81"/>
      <c r="F26" s="81"/>
      <c r="G26" s="81"/>
      <c r="H26" s="80">
        <f>IFERROR(VLOOKUP($A26,'Balancete 2016'!$A:$D,4,0), "0")</f>
        <v>720572315.25</v>
      </c>
      <c r="J26" s="57"/>
      <c r="K26" s="58"/>
      <c r="L26" s="58"/>
      <c r="M26" s="59"/>
    </row>
    <row r="27" spans="1:13">
      <c r="A27" s="84" t="s">
        <v>7</v>
      </c>
      <c r="B27" s="78">
        <v>-7</v>
      </c>
      <c r="C27" s="78" t="s">
        <v>383</v>
      </c>
      <c r="D27" s="80">
        <f>IFERROR(VLOOKUP($A27,'Balancete 2015'!$A:$D,4,0), "0")</f>
        <v>723199014.91999996</v>
      </c>
      <c r="E27" s="81">
        <v>200</v>
      </c>
      <c r="F27" s="81"/>
      <c r="G27" s="81"/>
      <c r="H27" s="80">
        <f>IFERROR(VLOOKUP($A27,'Balancete 2016'!$A:$D,4,0), "0")</f>
        <v>720572315.25</v>
      </c>
      <c r="J27" s="57"/>
      <c r="K27" s="58"/>
      <c r="L27" s="58"/>
      <c r="M27" s="59"/>
    </row>
    <row r="28" spans="1:13">
      <c r="A28" s="84" t="s">
        <v>8</v>
      </c>
      <c r="B28" s="78">
        <v>-5</v>
      </c>
      <c r="C28" s="78" t="s">
        <v>9</v>
      </c>
      <c r="D28" s="80" t="str">
        <f>IFERROR(VLOOKUP($A28,'Balancete 2015'!$A:$D,4,0), "0")</f>
        <v>0</v>
      </c>
      <c r="E28" s="81">
        <v>200</v>
      </c>
      <c r="F28" s="81"/>
      <c r="G28" s="81"/>
      <c r="H28" s="80" t="str">
        <f>IFERROR(VLOOKUP($A28,'Balancete 2016'!$A:$D,4,0), "0")</f>
        <v>0</v>
      </c>
      <c r="J28" s="57"/>
      <c r="K28" s="58"/>
      <c r="L28" s="58"/>
      <c r="M28" s="59"/>
    </row>
    <row r="29" spans="1:13">
      <c r="A29" s="84" t="s">
        <v>10</v>
      </c>
      <c r="B29" s="78">
        <v>-2</v>
      </c>
      <c r="C29" s="78" t="s">
        <v>11</v>
      </c>
      <c r="D29" s="80" t="str">
        <f>IFERROR(VLOOKUP($A29,'Balancete 2015'!$A:$D,4,0), "0")</f>
        <v>0</v>
      </c>
      <c r="E29" s="81"/>
      <c r="F29" s="81"/>
      <c r="G29" s="81"/>
      <c r="H29" s="80" t="str">
        <f>IFERROR(VLOOKUP($A29,'Balancete 2016'!$A:$D,4,0), "0")</f>
        <v>0</v>
      </c>
      <c r="J29" s="57"/>
      <c r="K29" s="58"/>
      <c r="L29" s="58"/>
      <c r="M29" s="59"/>
    </row>
    <row r="30" spans="1:13">
      <c r="A30" s="84" t="s">
        <v>12</v>
      </c>
      <c r="B30" s="78">
        <v>-5</v>
      </c>
      <c r="C30" s="78" t="s">
        <v>13</v>
      </c>
      <c r="D30" s="80">
        <f>IFERROR(VLOOKUP($A30,'Balancete 2015'!$A:$D,4,0), "0")</f>
        <v>35378480.909999996</v>
      </c>
      <c r="E30" s="81"/>
      <c r="F30" s="81"/>
      <c r="G30" s="81"/>
      <c r="H30" s="80">
        <f>IFERROR(VLOOKUP($A30,'Balancete 2016'!$A:$D,4,0), "0")</f>
        <v>6937123.1600000001</v>
      </c>
      <c r="J30" s="57"/>
      <c r="K30" s="58"/>
      <c r="L30" s="58"/>
      <c r="M30" s="59"/>
    </row>
    <row r="31" spans="1:13">
      <c r="A31" s="84" t="s">
        <v>319</v>
      </c>
      <c r="B31" s="78">
        <v>0</v>
      </c>
      <c r="C31" s="78" t="s">
        <v>14</v>
      </c>
      <c r="D31" s="80">
        <f>IFERROR(VLOOKUP($A31,'Balancete 2015'!$A:$D,4,0), "0")</f>
        <v>31860374.59</v>
      </c>
      <c r="E31" s="81"/>
      <c r="F31" s="81"/>
      <c r="G31" s="81"/>
      <c r="H31" s="80">
        <f>IFERROR(VLOOKUP($A31,'Balancete 2016'!$A:$D,4,0), "0")</f>
        <v>1758669.46</v>
      </c>
      <c r="J31" s="57"/>
      <c r="K31" s="58"/>
      <c r="L31" s="58"/>
      <c r="M31" s="59"/>
    </row>
    <row r="32" spans="1:13">
      <c r="A32" s="84" t="s">
        <v>15</v>
      </c>
      <c r="B32" s="78">
        <v>-1</v>
      </c>
      <c r="C32" s="78" t="s">
        <v>16</v>
      </c>
      <c r="D32" s="80">
        <f>IFERROR(VLOOKUP($A32,'Balancete 2015'!$A:$D,4,0), "0")</f>
        <v>31860374.59</v>
      </c>
      <c r="E32" s="81">
        <v>300</v>
      </c>
      <c r="F32" s="81"/>
      <c r="G32" s="81"/>
      <c r="H32" s="80">
        <f>IFERROR(VLOOKUP($A32,'Balancete 2016'!$A:$D,4,0), "0")</f>
        <v>1758669.46</v>
      </c>
      <c r="J32" s="57"/>
      <c r="K32" s="58"/>
      <c r="L32" s="58"/>
      <c r="M32" s="59"/>
    </row>
    <row r="33" spans="1:13">
      <c r="A33" s="84" t="s">
        <v>17</v>
      </c>
      <c r="B33" s="78">
        <v>-3</v>
      </c>
      <c r="C33" s="78" t="s">
        <v>384</v>
      </c>
      <c r="D33" s="80">
        <f>IFERROR(VLOOKUP($A33,'Balancete 2015'!$A:$D,4,0), "0")</f>
        <v>31860374.59</v>
      </c>
      <c r="E33" s="81"/>
      <c r="F33" s="81"/>
      <c r="G33" s="81"/>
      <c r="H33" s="80">
        <f>IFERROR(VLOOKUP($A33,'Balancete 2016'!$A:$D,4,0), "0")</f>
        <v>1758669.46</v>
      </c>
      <c r="J33" s="57"/>
      <c r="K33" s="58"/>
      <c r="L33" s="58"/>
      <c r="M33" s="59"/>
    </row>
    <row r="34" spans="1:13">
      <c r="A34" s="84" t="s">
        <v>18</v>
      </c>
      <c r="B34" s="78">
        <v>-1</v>
      </c>
      <c r="C34" s="78" t="s">
        <v>385</v>
      </c>
      <c r="D34" s="80">
        <f>IFERROR(VLOOKUP($A34,'Balancete 2015'!$A:$D,4,0), "0")</f>
        <v>31776860.609999999</v>
      </c>
      <c r="E34" s="81"/>
      <c r="F34" s="81"/>
      <c r="G34" s="81"/>
      <c r="H34" s="80">
        <f>IFERROR(VLOOKUP($A34,'Balancete 2016'!$A:$D,4,0), "0")</f>
        <v>335347.78000000003</v>
      </c>
      <c r="J34" s="57"/>
      <c r="K34" s="58"/>
      <c r="L34" s="58"/>
      <c r="M34" s="59"/>
    </row>
    <row r="35" spans="1:13">
      <c r="A35" s="84" t="s">
        <v>19</v>
      </c>
      <c r="B35" s="78">
        <v>0</v>
      </c>
      <c r="C35" s="78" t="s">
        <v>386</v>
      </c>
      <c r="D35" s="80">
        <f>IFERROR(VLOOKUP($A35,'Balancete 2015'!$A:$D,4,0), "0")</f>
        <v>83513.98</v>
      </c>
      <c r="E35" s="81"/>
      <c r="F35" s="81"/>
      <c r="G35" s="81"/>
      <c r="H35" s="80">
        <f>IFERROR(VLOOKUP($A35,'Balancete 2016'!$A:$D,4,0), "0")</f>
        <v>1423321.68</v>
      </c>
      <c r="J35" s="57"/>
      <c r="K35" s="58"/>
      <c r="L35" s="58"/>
      <c r="M35" s="59"/>
    </row>
    <row r="36" spans="1:13">
      <c r="A36" s="84" t="s">
        <v>320</v>
      </c>
      <c r="B36" s="78">
        <v>0</v>
      </c>
      <c r="C36" s="78" t="s">
        <v>20</v>
      </c>
      <c r="D36" s="80">
        <f>IFERROR(VLOOKUP($A36,'Balancete 2015'!$A:$D,4,0), "0")</f>
        <v>3518106.32</v>
      </c>
      <c r="E36" s="81">
        <v>400</v>
      </c>
      <c r="F36" s="81"/>
      <c r="G36" s="81"/>
      <c r="H36" s="80">
        <f>IFERROR(VLOOKUP($A36,'Balancete 2016'!$A:$D,4,0), "0")</f>
        <v>5178453.7</v>
      </c>
      <c r="J36" s="57"/>
      <c r="K36" s="58"/>
      <c r="L36" s="58"/>
      <c r="M36" s="59"/>
    </row>
    <row r="37" spans="1:13">
      <c r="A37" s="84" t="s">
        <v>21</v>
      </c>
      <c r="B37" s="78">
        <v>0</v>
      </c>
      <c r="C37" s="78" t="s">
        <v>22</v>
      </c>
      <c r="D37" s="80">
        <f>IFERROR(VLOOKUP($A37,'Balancete 2015'!$A:$D,4,0), "0")</f>
        <v>55410.84</v>
      </c>
      <c r="E37" s="81"/>
      <c r="F37" s="81"/>
      <c r="G37" s="81"/>
      <c r="H37" s="80">
        <f>IFERROR(VLOOKUP($A37,'Balancete 2016'!$A:$D,4,0), "0")</f>
        <v>57498.64</v>
      </c>
      <c r="J37" s="57"/>
      <c r="K37" s="58"/>
      <c r="L37" s="58"/>
      <c r="M37" s="59"/>
    </row>
    <row r="38" spans="1:13">
      <c r="A38" s="84" t="s">
        <v>23</v>
      </c>
      <c r="B38" s="78">
        <v>-4</v>
      </c>
      <c r="C38" s="78" t="s">
        <v>387</v>
      </c>
      <c r="D38" s="80">
        <f>IFERROR(VLOOKUP($A38,'Balancete 2015'!$A:$D,4,0), "0")</f>
        <v>55410.84</v>
      </c>
      <c r="E38" s="81"/>
      <c r="F38" s="81"/>
      <c r="G38" s="81"/>
      <c r="H38" s="80">
        <f>IFERROR(VLOOKUP($A38,'Balancete 2016'!$A:$D,4,0), "0")</f>
        <v>57498.64</v>
      </c>
      <c r="J38" s="57"/>
      <c r="K38" s="58"/>
      <c r="L38" s="58"/>
      <c r="M38" s="59"/>
    </row>
    <row r="39" spans="1:13">
      <c r="A39" s="84" t="s">
        <v>24</v>
      </c>
      <c r="B39" s="78">
        <v>-2</v>
      </c>
      <c r="C39" s="78" t="s">
        <v>388</v>
      </c>
      <c r="D39" s="80">
        <f>IFERROR(VLOOKUP($A39,'Balancete 2015'!$A:$D,4,0), "0")</f>
        <v>40743.26</v>
      </c>
      <c r="E39" s="81"/>
      <c r="F39" s="81"/>
      <c r="G39" s="81"/>
      <c r="H39" s="80">
        <f>IFERROR(VLOOKUP($A39,'Balancete 2016'!$A:$D,4,0), "0")</f>
        <v>42278.41</v>
      </c>
      <c r="J39" s="57"/>
      <c r="K39" s="58"/>
      <c r="L39" s="58"/>
      <c r="M39" s="59"/>
    </row>
    <row r="40" spans="1:13">
      <c r="A40" s="84" t="s">
        <v>25</v>
      </c>
      <c r="B40" s="78">
        <v>0</v>
      </c>
      <c r="C40" s="78" t="s">
        <v>389</v>
      </c>
      <c r="D40" s="80">
        <f>IFERROR(VLOOKUP($A40,'Balancete 2015'!$A:$D,4,0), "0")</f>
        <v>14667.58</v>
      </c>
      <c r="E40" s="81"/>
      <c r="F40" s="81"/>
      <c r="G40" s="81"/>
      <c r="H40" s="80">
        <f>IFERROR(VLOOKUP($A40,'Balancete 2016'!$A:$D,4,0), "0")</f>
        <v>15220.23</v>
      </c>
      <c r="J40" s="57"/>
      <c r="K40" s="58"/>
      <c r="L40" s="58"/>
      <c r="M40" s="59"/>
    </row>
    <row r="41" spans="1:13">
      <c r="A41" s="84" t="s">
        <v>26</v>
      </c>
      <c r="B41" s="78">
        <v>-8</v>
      </c>
      <c r="C41" s="78" t="s">
        <v>27</v>
      </c>
      <c r="D41" s="80">
        <f>IFERROR(VLOOKUP($A41,'Balancete 2015'!$A:$D,4,0), "0")</f>
        <v>53544.480000000003</v>
      </c>
      <c r="E41" s="81"/>
      <c r="F41" s="81"/>
      <c r="G41" s="81"/>
      <c r="H41" s="80">
        <f>IFERROR(VLOOKUP($A41,'Balancete 2016'!$A:$D,4,0), "0")</f>
        <v>1236823</v>
      </c>
      <c r="J41" s="57"/>
      <c r="K41" s="58"/>
      <c r="L41" s="58"/>
      <c r="M41" s="59"/>
    </row>
    <row r="42" spans="1:13">
      <c r="A42" s="84" t="s">
        <v>390</v>
      </c>
      <c r="B42" s="78">
        <v>0</v>
      </c>
      <c r="C42" s="78" t="s">
        <v>391</v>
      </c>
      <c r="D42" s="80" t="str">
        <f>IFERROR(VLOOKUP($A42,'Balancete 2015'!$A:$D,4,0), "0")</f>
        <v>0</v>
      </c>
      <c r="E42" s="81"/>
      <c r="F42" s="81"/>
      <c r="G42" s="81"/>
      <c r="H42" s="80">
        <f>IFERROR(VLOOKUP($A42,'Balancete 2016'!$A:$D,4,0), "0")</f>
        <v>1183278.52</v>
      </c>
      <c r="J42" s="57"/>
      <c r="K42" s="58"/>
      <c r="L42" s="58"/>
      <c r="M42" s="59"/>
    </row>
    <row r="43" spans="1:13">
      <c r="A43" s="84" t="s">
        <v>392</v>
      </c>
      <c r="B43" s="78">
        <v>-8</v>
      </c>
      <c r="C43" s="78" t="s">
        <v>393</v>
      </c>
      <c r="D43" s="80" t="str">
        <f>IFERROR(VLOOKUP($A43,'Balancete 2015'!$A:$D,4,0), "0")</f>
        <v>0</v>
      </c>
      <c r="E43" s="81"/>
      <c r="F43" s="81"/>
      <c r="G43" s="81"/>
      <c r="H43" s="80" t="str">
        <f>IFERROR(VLOOKUP($A43,'Balancete 2016'!$A:$D,4,0), "0")</f>
        <v>0</v>
      </c>
      <c r="J43" s="57"/>
      <c r="K43" s="58"/>
      <c r="L43" s="58"/>
      <c r="M43" s="59"/>
    </row>
    <row r="44" spans="1:13">
      <c r="A44" s="84" t="s">
        <v>394</v>
      </c>
      <c r="B44" s="78">
        <v>-6</v>
      </c>
      <c r="C44" s="78" t="s">
        <v>395</v>
      </c>
      <c r="D44" s="80" t="str">
        <f>IFERROR(VLOOKUP($A44,'Balancete 2015'!$A:$D,4,0), "0")</f>
        <v>0</v>
      </c>
      <c r="E44" s="81"/>
      <c r="F44" s="81"/>
      <c r="G44" s="81"/>
      <c r="H44" s="80" t="str">
        <f>IFERROR(VLOOKUP($A44,'Balancete 2016'!$A:$D,4,0), "0")</f>
        <v>0</v>
      </c>
      <c r="J44" s="57"/>
      <c r="K44" s="58"/>
      <c r="L44" s="58"/>
      <c r="M44" s="59"/>
    </row>
    <row r="45" spans="1:13">
      <c r="A45" s="84" t="s">
        <v>396</v>
      </c>
      <c r="B45" s="78">
        <v>-2</v>
      </c>
      <c r="C45" s="78" t="s">
        <v>397</v>
      </c>
      <c r="D45" s="80" t="str">
        <f>IFERROR(VLOOKUP($A45,'Balancete 2015'!$A:$D,4,0), "0")</f>
        <v>0</v>
      </c>
      <c r="E45" s="81"/>
      <c r="F45" s="81"/>
      <c r="G45" s="81"/>
      <c r="H45" s="80">
        <f>IFERROR(VLOOKUP($A45,'Balancete 2016'!$A:$D,4,0), "0")</f>
        <v>1183278.52</v>
      </c>
      <c r="J45" s="57"/>
      <c r="K45" s="58"/>
      <c r="L45" s="58"/>
      <c r="M45" s="59"/>
    </row>
    <row r="46" spans="1:13">
      <c r="A46" s="77" t="s">
        <v>676</v>
      </c>
      <c r="B46" s="78">
        <v>5</v>
      </c>
      <c r="C46" s="78" t="s">
        <v>742</v>
      </c>
      <c r="D46" s="80">
        <f>IFERROR(VLOOKUP($A46,'Balancete 2015'!$A:$D,4,0), "0")</f>
        <v>53544.480000000003</v>
      </c>
      <c r="E46" s="81"/>
      <c r="F46" s="81"/>
      <c r="G46" s="81"/>
      <c r="H46" s="80">
        <f>IFERROR(VLOOKUP($A46,'Balancete 2016'!$A:$D,4,0), "0")</f>
        <v>53544.480000000003</v>
      </c>
      <c r="J46" s="60"/>
      <c r="K46" s="58"/>
      <c r="L46" s="61"/>
      <c r="M46" s="61"/>
    </row>
    <row r="47" spans="1:13">
      <c r="A47" s="77" t="s">
        <v>677</v>
      </c>
      <c r="B47" s="78">
        <v>3</v>
      </c>
      <c r="C47" s="78" t="s">
        <v>743</v>
      </c>
      <c r="D47" s="80">
        <f>IFERROR(VLOOKUP($A47,'Balancete 2015'!$A:$D,4,0), "0")</f>
        <v>53544.480000000003</v>
      </c>
      <c r="E47" s="81"/>
      <c r="F47" s="81"/>
      <c r="G47" s="81"/>
      <c r="H47" s="80">
        <f>IFERROR(VLOOKUP($A47,'Balancete 2016'!$A:$D,4,0), "0")</f>
        <v>53544.480000000003</v>
      </c>
      <c r="J47" s="60"/>
      <c r="K47" s="58"/>
      <c r="L47" s="61"/>
      <c r="M47" s="61"/>
    </row>
    <row r="48" spans="1:13">
      <c r="A48" s="77" t="s">
        <v>883</v>
      </c>
      <c r="B48" s="78">
        <v>-2</v>
      </c>
      <c r="C48" s="79" t="s">
        <v>884</v>
      </c>
      <c r="D48" s="80">
        <f>IFERROR(VLOOKUP($A48,'Balancete 2015'!$A:$D,4,0), "0")</f>
        <v>3401410.97</v>
      </c>
      <c r="E48" s="81">
        <v>401</v>
      </c>
      <c r="F48" s="81"/>
      <c r="G48" s="81"/>
      <c r="H48" s="80">
        <f>IFERROR(VLOOKUP($A48,'Balancete 2016'!$A:$D,4,0), "0")</f>
        <v>3878274.07</v>
      </c>
      <c r="J48" s="60"/>
      <c r="K48" s="58"/>
      <c r="L48" s="61"/>
      <c r="M48" s="61"/>
    </row>
    <row r="49" spans="1:13">
      <c r="A49" s="77" t="s">
        <v>885</v>
      </c>
      <c r="B49" s="78">
        <v>-8</v>
      </c>
      <c r="C49" s="79" t="s">
        <v>886</v>
      </c>
      <c r="D49" s="80">
        <f>IFERROR(VLOOKUP($A49,'Balancete 2015'!$A:$D,4,0), "0")</f>
        <v>3401410.97</v>
      </c>
      <c r="E49" s="81"/>
      <c r="F49" s="81"/>
      <c r="G49" s="81"/>
      <c r="H49" s="80">
        <f>IFERROR(VLOOKUP($A49,'Balancete 2016'!$A:$D,4,0), "0")</f>
        <v>3878274.07</v>
      </c>
      <c r="J49" s="60"/>
      <c r="K49" s="58"/>
      <c r="L49" s="61"/>
      <c r="M49" s="61"/>
    </row>
    <row r="50" spans="1:13">
      <c r="A50" s="77" t="s">
        <v>887</v>
      </c>
      <c r="B50" s="78">
        <v>-2</v>
      </c>
      <c r="C50" s="79" t="s">
        <v>888</v>
      </c>
      <c r="D50" s="80">
        <f>IFERROR(VLOOKUP($A50,'Balancete 2015'!$A:$D,4,0), "0")</f>
        <v>3401410.97</v>
      </c>
      <c r="E50" s="81"/>
      <c r="F50" s="81"/>
      <c r="G50" s="81"/>
      <c r="H50" s="80">
        <f>IFERROR(VLOOKUP($A50,'Balancete 2016'!$A:$D,4,0), "0")</f>
        <v>3878274.07</v>
      </c>
      <c r="J50" s="60"/>
      <c r="K50" s="58"/>
      <c r="L50" s="61"/>
      <c r="M50" s="61"/>
    </row>
    <row r="51" spans="1:13">
      <c r="A51" s="84" t="s">
        <v>302</v>
      </c>
      <c r="B51" s="78">
        <v>-2</v>
      </c>
      <c r="C51" s="78" t="s">
        <v>303</v>
      </c>
      <c r="D51" s="80">
        <f>IFERROR(VLOOKUP($A51,'Balancete 2015'!$A:$D,4,0), "0")</f>
        <v>7740.03</v>
      </c>
      <c r="E51" s="81"/>
      <c r="F51" s="81"/>
      <c r="G51" s="81"/>
      <c r="H51" s="80">
        <f>IFERROR(VLOOKUP($A51,'Balancete 2016'!$A:$D,4,0), "0")</f>
        <v>5857.99</v>
      </c>
      <c r="J51" s="57"/>
      <c r="K51" s="58"/>
      <c r="L51" s="58"/>
      <c r="M51" s="59"/>
    </row>
    <row r="52" spans="1:13">
      <c r="A52" s="84" t="s">
        <v>304</v>
      </c>
      <c r="B52" s="78">
        <v>-7</v>
      </c>
      <c r="C52" s="78" t="s">
        <v>303</v>
      </c>
      <c r="D52" s="80">
        <f>IFERROR(VLOOKUP($A52,'Balancete 2015'!$A:$D,4,0), "0")</f>
        <v>7740.03</v>
      </c>
      <c r="E52" s="81"/>
      <c r="F52" s="81"/>
      <c r="G52" s="81"/>
      <c r="H52" s="80">
        <f>IFERROR(VLOOKUP($A52,'Balancete 2016'!$A:$D,4,0), "0")</f>
        <v>5857.99</v>
      </c>
      <c r="J52" s="57"/>
      <c r="K52" s="58"/>
      <c r="L52" s="58"/>
      <c r="M52" s="59"/>
    </row>
    <row r="53" spans="1:13">
      <c r="A53" s="84" t="s">
        <v>305</v>
      </c>
      <c r="B53" s="78">
        <v>-4</v>
      </c>
      <c r="C53" s="78" t="s">
        <v>398</v>
      </c>
      <c r="D53" s="80">
        <f>IFERROR(VLOOKUP($A53,'Balancete 2015'!$A:$D,4,0), "0")</f>
        <v>7740.03</v>
      </c>
      <c r="E53" s="81"/>
      <c r="F53" s="81"/>
      <c r="G53" s="81"/>
      <c r="H53" s="80">
        <f>IFERROR(VLOOKUP($A53,'Balancete 2016'!$A:$D,4,0), "0")</f>
        <v>5857.99</v>
      </c>
      <c r="J53" s="57"/>
      <c r="K53" s="58"/>
      <c r="L53" s="58"/>
      <c r="M53" s="59"/>
    </row>
    <row r="54" spans="1:13">
      <c r="A54" s="84">
        <v>2</v>
      </c>
      <c r="B54" s="78">
        <v>-3</v>
      </c>
      <c r="C54" s="78" t="s">
        <v>245</v>
      </c>
      <c r="D54" s="80">
        <f>IFERROR(VLOOKUP($A54,'Balancete 2015'!$A:$D,4,0), "0")</f>
        <v>2138207148.71</v>
      </c>
      <c r="E54" s="81"/>
      <c r="F54" s="81"/>
      <c r="G54" s="81"/>
      <c r="H54" s="80">
        <f>IFERROR(VLOOKUP($A54,'Balancete 2016'!$A:$D,4,0), "0")</f>
        <v>2052857494.0799999</v>
      </c>
      <c r="J54" s="57"/>
      <c r="K54" s="58"/>
      <c r="L54" s="58"/>
      <c r="M54" s="59"/>
    </row>
    <row r="55" spans="1:13">
      <c r="A55" s="84" t="s">
        <v>321</v>
      </c>
      <c r="B55" s="78">
        <v>0</v>
      </c>
      <c r="C55" s="78" t="s">
        <v>28</v>
      </c>
      <c r="D55" s="80">
        <f>IFERROR(VLOOKUP($A55,'Balancete 2015'!$A:$D,4,0), "0")</f>
        <v>2138207148.71</v>
      </c>
      <c r="E55" s="81">
        <v>500</v>
      </c>
      <c r="F55" s="81"/>
      <c r="G55" s="81"/>
      <c r="H55" s="80">
        <f>IFERROR(VLOOKUP($A55,'Balancete 2016'!$A:$D,4,0), "0")</f>
        <v>2052857494.0799999</v>
      </c>
      <c r="J55" s="57"/>
      <c r="K55" s="58"/>
      <c r="L55" s="58"/>
      <c r="M55" s="59"/>
    </row>
    <row r="56" spans="1:13">
      <c r="A56" s="84" t="s">
        <v>29</v>
      </c>
      <c r="B56" s="78">
        <v>-7</v>
      </c>
      <c r="C56" s="78" t="s">
        <v>30</v>
      </c>
      <c r="D56" s="80">
        <f>IFERROR(VLOOKUP($A56,'Balancete 2015'!$A:$D,4,0), "0")</f>
        <v>2138207148.71</v>
      </c>
      <c r="E56" s="81"/>
      <c r="F56" s="81"/>
      <c r="G56" s="81"/>
      <c r="H56" s="80">
        <f>IFERROR(VLOOKUP($A56,'Balancete 2016'!$A:$D,4,0), "0")</f>
        <v>2052857494.0799999</v>
      </c>
      <c r="J56" s="57"/>
      <c r="K56" s="58"/>
      <c r="L56" s="58"/>
      <c r="M56" s="59"/>
    </row>
    <row r="57" spans="1:13">
      <c r="A57" s="84" t="s">
        <v>31</v>
      </c>
      <c r="B57" s="78">
        <v>0</v>
      </c>
      <c r="C57" s="78" t="s">
        <v>32</v>
      </c>
      <c r="D57" s="80">
        <f>IFERROR(VLOOKUP($A57,'Balancete 2015'!$A:$D,4,0), "0")</f>
        <v>2138207148.71</v>
      </c>
      <c r="E57" s="81"/>
      <c r="F57" s="81"/>
      <c r="G57" s="81"/>
      <c r="H57" s="80">
        <f>IFERROR(VLOOKUP($A57,'Balancete 2016'!$A:$D,4,0), "0")</f>
        <v>2087333381.1500001</v>
      </c>
      <c r="J57" s="57"/>
      <c r="K57" s="58"/>
      <c r="L57" s="58"/>
      <c r="M57" s="59"/>
    </row>
    <row r="58" spans="1:13">
      <c r="A58" s="84" t="s">
        <v>268</v>
      </c>
      <c r="B58" s="78">
        <v>-2</v>
      </c>
      <c r="C58" s="78" t="s">
        <v>399</v>
      </c>
      <c r="D58" s="80">
        <f>IFERROR(VLOOKUP($A58,'Balancete 2015'!$A:$D,4,0), "0")</f>
        <v>1528663343.77</v>
      </c>
      <c r="E58" s="81"/>
      <c r="F58" s="81"/>
      <c r="G58" s="81"/>
      <c r="H58" s="80">
        <f>IFERROR(VLOOKUP($A58,'Balancete 2016'!$A:$D,4,0), "0")</f>
        <v>1485670937.0699999</v>
      </c>
      <c r="J58" s="57"/>
      <c r="K58" s="58"/>
      <c r="L58" s="58"/>
      <c r="M58" s="59"/>
    </row>
    <row r="59" spans="1:13">
      <c r="A59" s="84" t="s">
        <v>269</v>
      </c>
      <c r="B59" s="78">
        <v>0</v>
      </c>
      <c r="C59" s="78" t="s">
        <v>590</v>
      </c>
      <c r="D59" s="80">
        <f>IFERROR(VLOOKUP($A59,'Balancete 2015'!$A:$D,4,0), "0")</f>
        <v>1529615982.96</v>
      </c>
      <c r="E59" s="81"/>
      <c r="F59" s="81"/>
      <c r="G59" s="81"/>
      <c r="H59" s="80">
        <f>IFERROR(VLOOKUP($A59,'Balancete 2016'!$A:$D,4,0), "0")</f>
        <v>1486623576.26</v>
      </c>
      <c r="J59" s="57"/>
      <c r="K59" s="58"/>
      <c r="L59" s="58"/>
      <c r="M59" s="59"/>
    </row>
    <row r="60" spans="1:13">
      <c r="A60" s="77" t="s">
        <v>654</v>
      </c>
      <c r="B60" s="78">
        <v>0</v>
      </c>
      <c r="C60" s="78" t="s">
        <v>690</v>
      </c>
      <c r="D60" s="80">
        <f>IFERROR(VLOOKUP($A60,'Balancete 2015'!$A:$D,4,0), "0")</f>
        <v>-952639.19</v>
      </c>
      <c r="E60" s="81"/>
      <c r="F60" s="81"/>
      <c r="G60" s="81"/>
      <c r="H60" s="80">
        <f>IFERROR(VLOOKUP($A60,'Balancete 2016'!$A:$D,4,0), "0")</f>
        <v>-952639.19</v>
      </c>
      <c r="J60" s="57"/>
      <c r="K60" s="58"/>
      <c r="L60" s="58"/>
      <c r="M60" s="59"/>
    </row>
    <row r="61" spans="1:13">
      <c r="A61" s="84" t="s">
        <v>270</v>
      </c>
      <c r="B61" s="78">
        <v>-9</v>
      </c>
      <c r="C61" s="78" t="s">
        <v>400</v>
      </c>
      <c r="D61" s="80">
        <f>IFERROR(VLOOKUP($A61,'Balancete 2015'!$A:$D,4,0), "0")</f>
        <v>176358000</v>
      </c>
      <c r="E61" s="81"/>
      <c r="F61" s="81"/>
      <c r="G61" s="81"/>
      <c r="H61" s="80">
        <f>IFERROR(VLOOKUP($A61,'Balancete 2016'!$A:$D,4,0), "0")</f>
        <v>176358000</v>
      </c>
      <c r="J61" s="57"/>
      <c r="K61" s="58"/>
      <c r="L61" s="58"/>
      <c r="M61" s="59"/>
    </row>
    <row r="62" spans="1:13">
      <c r="A62" s="84" t="s">
        <v>271</v>
      </c>
      <c r="B62" s="78">
        <v>-7</v>
      </c>
      <c r="C62" s="78" t="s">
        <v>401</v>
      </c>
      <c r="D62" s="80">
        <f>IFERROR(VLOOKUP($A62,'Balancete 2015'!$A:$D,4,0), "0")</f>
        <v>176358000</v>
      </c>
      <c r="E62" s="81"/>
      <c r="F62" s="81"/>
      <c r="G62" s="81"/>
      <c r="H62" s="80">
        <f>IFERROR(VLOOKUP($A62,'Balancete 2016'!$A:$D,4,0), "0")</f>
        <v>176358000</v>
      </c>
      <c r="J62" s="57"/>
      <c r="K62" s="58"/>
      <c r="L62" s="58"/>
      <c r="M62" s="59"/>
    </row>
    <row r="63" spans="1:13">
      <c r="A63" s="84" t="s">
        <v>272</v>
      </c>
      <c r="B63" s="78">
        <v>-1</v>
      </c>
      <c r="C63" s="78" t="s">
        <v>402</v>
      </c>
      <c r="D63" s="80">
        <f>IFERROR(VLOOKUP($A63,'Balancete 2015'!$A:$D,4,0), "0")</f>
        <v>32965137.940000001</v>
      </c>
      <c r="E63" s="81"/>
      <c r="F63" s="81"/>
      <c r="G63" s="81"/>
      <c r="H63" s="80">
        <f>IFERROR(VLOOKUP($A63,'Balancete 2016'!$A:$D,4,0), "0")</f>
        <v>32683799.68</v>
      </c>
      <c r="J63" s="57"/>
      <c r="K63" s="58"/>
      <c r="L63" s="58"/>
      <c r="M63" s="59"/>
    </row>
    <row r="64" spans="1:13">
      <c r="A64" s="84" t="s">
        <v>273</v>
      </c>
      <c r="B64" s="78">
        <v>0</v>
      </c>
      <c r="C64" s="78" t="s">
        <v>403</v>
      </c>
      <c r="D64" s="80">
        <f>IFERROR(VLOOKUP($A64,'Balancete 2015'!$A:$D,4,0), "0")</f>
        <v>162276000</v>
      </c>
      <c r="E64" s="81"/>
      <c r="F64" s="81"/>
      <c r="G64" s="81"/>
      <c r="H64" s="80">
        <f>IFERROR(VLOOKUP($A64,'Balancete 2016'!$A:$D,4,0), "0")</f>
        <v>162276000</v>
      </c>
      <c r="J64" s="57"/>
      <c r="K64" s="58"/>
      <c r="L64" s="58"/>
      <c r="M64" s="59"/>
    </row>
    <row r="65" spans="1:13">
      <c r="A65" s="84" t="s">
        <v>274</v>
      </c>
      <c r="B65" s="78">
        <v>-8</v>
      </c>
      <c r="C65" s="78" t="s">
        <v>404</v>
      </c>
      <c r="D65" s="80">
        <f>IFERROR(VLOOKUP($A65,'Balancete 2015'!$A:$D,4,0), "0")</f>
        <v>-129310862.06</v>
      </c>
      <c r="E65" s="81"/>
      <c r="F65" s="81"/>
      <c r="G65" s="81"/>
      <c r="H65" s="80">
        <f>IFERROR(VLOOKUP($A65,'Balancete 2016'!$A:$D,4,0), "0")</f>
        <v>-129592200.31999999</v>
      </c>
      <c r="J65" s="57"/>
      <c r="K65" s="58"/>
      <c r="L65" s="58"/>
      <c r="M65" s="59"/>
    </row>
    <row r="66" spans="1:13">
      <c r="A66" s="84" t="s">
        <v>275</v>
      </c>
      <c r="B66" s="78">
        <v>-8</v>
      </c>
      <c r="C66" s="78" t="s">
        <v>276</v>
      </c>
      <c r="D66" s="80">
        <f>IFERROR(VLOOKUP($A66,'Balancete 2015'!$A:$D,4,0), "0")</f>
        <v>132998508.81999999</v>
      </c>
      <c r="E66" s="81"/>
      <c r="F66" s="81"/>
      <c r="G66" s="81"/>
      <c r="H66" s="80">
        <f>IFERROR(VLOOKUP($A66,'Balancete 2016'!$A:$D,4,0), "0")</f>
        <v>146024147.78</v>
      </c>
      <c r="J66" s="57"/>
      <c r="K66" s="58"/>
      <c r="L66" s="58"/>
      <c r="M66" s="59"/>
    </row>
    <row r="67" spans="1:13">
      <c r="A67" s="84" t="s">
        <v>277</v>
      </c>
      <c r="B67" s="78">
        <v>-6</v>
      </c>
      <c r="C67" s="78" t="s">
        <v>591</v>
      </c>
      <c r="D67" s="80" t="str">
        <f>IFERROR(VLOOKUP($A67,'Balancete 2015'!$A:$D,4,0), "0")</f>
        <v>0</v>
      </c>
      <c r="E67" s="81"/>
      <c r="F67" s="81"/>
      <c r="G67" s="81"/>
      <c r="H67" s="80" t="str">
        <f>IFERROR(VLOOKUP($A67,'Balancete 2016'!$A:$D,4,0), "0")</f>
        <v>0</v>
      </c>
      <c r="J67" s="57"/>
      <c r="K67" s="58"/>
      <c r="L67" s="58"/>
      <c r="M67" s="59"/>
    </row>
    <row r="68" spans="1:13">
      <c r="A68" s="84" t="s">
        <v>278</v>
      </c>
      <c r="B68" s="78">
        <v>-4</v>
      </c>
      <c r="C68" s="78" t="s">
        <v>405</v>
      </c>
      <c r="D68" s="80">
        <f>IFERROR(VLOOKUP($A68,'Balancete 2015'!$A:$D,4,0), "0")</f>
        <v>18541523.02</v>
      </c>
      <c r="E68" s="81"/>
      <c r="F68" s="81"/>
      <c r="G68" s="81"/>
      <c r="H68" s="80">
        <f>IFERROR(VLOOKUP($A68,'Balancete 2016'!$A:$D,4,0), "0")</f>
        <v>23111134.75</v>
      </c>
      <c r="J68" s="57"/>
      <c r="K68" s="58"/>
      <c r="L68" s="58"/>
      <c r="M68" s="59"/>
    </row>
    <row r="69" spans="1:13">
      <c r="A69" s="84" t="s">
        <v>279</v>
      </c>
      <c r="B69" s="78">
        <v>-2</v>
      </c>
      <c r="C69" s="78" t="s">
        <v>406</v>
      </c>
      <c r="D69" s="80">
        <f>IFERROR(VLOOKUP($A69,'Balancete 2015'!$A:$D,4,0), "0")</f>
        <v>6955910.9500000002</v>
      </c>
      <c r="E69" s="81"/>
      <c r="F69" s="81"/>
      <c r="G69" s="81"/>
      <c r="H69" s="80">
        <f>IFERROR(VLOOKUP($A69,'Balancete 2016'!$A:$D,4,0), "0")</f>
        <v>6993684.9100000001</v>
      </c>
      <c r="J69" s="57"/>
      <c r="K69" s="58"/>
      <c r="L69" s="58"/>
      <c r="M69" s="59"/>
    </row>
    <row r="70" spans="1:13">
      <c r="A70" s="84" t="s">
        <v>407</v>
      </c>
      <c r="B70" s="78">
        <v>0</v>
      </c>
      <c r="C70" s="78" t="s">
        <v>408</v>
      </c>
      <c r="D70" s="80">
        <f>IFERROR(VLOOKUP($A70,'Balancete 2015'!$A:$D,4,0), "0")</f>
        <v>38292277.310000002</v>
      </c>
      <c r="E70" s="81"/>
      <c r="F70" s="81"/>
      <c r="G70" s="81"/>
      <c r="H70" s="80">
        <f>IFERROR(VLOOKUP($A70,'Balancete 2016'!$A:$D,4,0), "0")</f>
        <v>39408512.359999999</v>
      </c>
      <c r="J70" s="57"/>
      <c r="K70" s="58"/>
      <c r="L70" s="58"/>
      <c r="M70" s="59"/>
    </row>
    <row r="71" spans="1:13">
      <c r="A71" s="77" t="s">
        <v>678</v>
      </c>
      <c r="B71" s="78">
        <v>2</v>
      </c>
      <c r="C71" s="59" t="s">
        <v>744</v>
      </c>
      <c r="D71" s="80"/>
      <c r="E71" s="81"/>
      <c r="F71" s="81"/>
      <c r="G71" s="81"/>
      <c r="H71" s="80" t="str">
        <f>IFERROR(VLOOKUP($A71,'Balancete 2016'!$A:$D,4,0), "0")</f>
        <v>0</v>
      </c>
      <c r="J71" s="57"/>
      <c r="K71" s="58"/>
      <c r="L71" s="58"/>
      <c r="M71" s="59"/>
    </row>
    <row r="72" spans="1:13">
      <c r="A72" s="84" t="s">
        <v>280</v>
      </c>
      <c r="B72" s="78">
        <v>0</v>
      </c>
      <c r="C72" s="78" t="s">
        <v>409</v>
      </c>
      <c r="D72" s="80">
        <f>IFERROR(VLOOKUP($A72,'Balancete 2015'!$A:$D,4,0), "0")</f>
        <v>1840749.35</v>
      </c>
      <c r="E72" s="81"/>
      <c r="F72" s="81"/>
      <c r="G72" s="81"/>
      <c r="H72" s="80">
        <f>IFERROR(VLOOKUP($A72,'Balancete 2016'!$A:$D,4,0), "0")</f>
        <v>1874310.73</v>
      </c>
      <c r="J72" s="57"/>
      <c r="K72" s="58"/>
      <c r="L72" s="58"/>
      <c r="M72" s="59"/>
    </row>
    <row r="73" spans="1:13">
      <c r="A73" s="84" t="s">
        <v>281</v>
      </c>
      <c r="B73" s="78">
        <v>-9</v>
      </c>
      <c r="C73" s="78" t="s">
        <v>410</v>
      </c>
      <c r="D73" s="80">
        <f>IFERROR(VLOOKUP($A73,'Balancete 2015'!$A:$D,4,0), "0")</f>
        <v>2.5</v>
      </c>
      <c r="E73" s="81"/>
      <c r="F73" s="81"/>
      <c r="G73" s="81"/>
      <c r="H73" s="80">
        <f>IFERROR(VLOOKUP($A73,'Balancete 2016'!$A:$D,4,0), "0")</f>
        <v>2.5</v>
      </c>
      <c r="J73" s="57"/>
      <c r="K73" s="58"/>
      <c r="L73" s="58"/>
      <c r="M73" s="59"/>
    </row>
    <row r="74" spans="1:13">
      <c r="A74" s="84" t="s">
        <v>282</v>
      </c>
      <c r="B74" s="78">
        <v>-7</v>
      </c>
      <c r="C74" s="78" t="s">
        <v>411</v>
      </c>
      <c r="D74" s="80">
        <f>IFERROR(VLOOKUP($A74,'Balancete 2015'!$A:$D,4,0), "0")</f>
        <v>32427856.469999999</v>
      </c>
      <c r="E74" s="81"/>
      <c r="F74" s="81"/>
      <c r="G74" s="81"/>
      <c r="H74" s="80">
        <f>IFERROR(VLOOKUP($A74,'Balancete 2016'!$A:$D,4,0), "0")</f>
        <v>32684684.059999999</v>
      </c>
      <c r="J74" s="57"/>
      <c r="K74" s="58"/>
      <c r="L74" s="58"/>
      <c r="M74" s="59"/>
    </row>
    <row r="75" spans="1:13">
      <c r="A75" s="84" t="s">
        <v>283</v>
      </c>
      <c r="B75" s="78">
        <v>-5</v>
      </c>
      <c r="C75" s="78" t="s">
        <v>412</v>
      </c>
      <c r="D75" s="80" t="str">
        <f>IFERROR(VLOOKUP($A75,'Balancete 2015'!$A:$D,4,0), "0")</f>
        <v>0</v>
      </c>
      <c r="E75" s="81"/>
      <c r="F75" s="81"/>
      <c r="G75" s="81"/>
      <c r="H75" s="80" t="str">
        <f>IFERROR(VLOOKUP($A75,'Balancete 2016'!$A:$D,4,0), "0")</f>
        <v>0</v>
      </c>
      <c r="J75" s="57"/>
      <c r="K75" s="58"/>
      <c r="L75" s="58"/>
      <c r="M75" s="59"/>
    </row>
    <row r="76" spans="1:13">
      <c r="A76" s="84" t="s">
        <v>284</v>
      </c>
      <c r="B76" s="78">
        <v>-1</v>
      </c>
      <c r="C76" s="78" t="s">
        <v>413</v>
      </c>
      <c r="D76" s="80">
        <f>IFERROR(VLOOKUP($A76,'Balancete 2015'!$A:$D,4,0), "0")</f>
        <v>30392935.879999999</v>
      </c>
      <c r="E76" s="81"/>
      <c r="F76" s="81"/>
      <c r="G76" s="81"/>
      <c r="H76" s="80">
        <f>IFERROR(VLOOKUP($A76,'Balancete 2016'!$A:$D,4,0), "0")</f>
        <v>37404565.130000003</v>
      </c>
      <c r="J76" s="57"/>
      <c r="K76" s="58"/>
      <c r="L76" s="58"/>
      <c r="M76" s="59"/>
    </row>
    <row r="77" spans="1:13">
      <c r="A77" s="84" t="s">
        <v>414</v>
      </c>
      <c r="B77" s="78">
        <v>0</v>
      </c>
      <c r="C77" s="78" t="s">
        <v>415</v>
      </c>
      <c r="D77" s="80">
        <f>IFERROR(VLOOKUP($A77,'Balancete 2015'!$A:$D,4,0), "0")</f>
        <v>1010953.34</v>
      </c>
      <c r="E77" s="81"/>
      <c r="F77" s="81"/>
      <c r="G77" s="81"/>
      <c r="H77" s="80">
        <f>IFERROR(VLOOKUP($A77,'Balancete 2016'!$A:$D,4,0), "0")</f>
        <v>1010953.34</v>
      </c>
      <c r="J77" s="57"/>
      <c r="K77" s="58"/>
      <c r="L77" s="58"/>
      <c r="M77" s="59"/>
    </row>
    <row r="78" spans="1:13">
      <c r="A78" s="84" t="s">
        <v>723</v>
      </c>
      <c r="B78" s="78"/>
      <c r="C78" s="59" t="s">
        <v>724</v>
      </c>
      <c r="D78" s="80"/>
      <c r="E78" s="81"/>
      <c r="F78" s="81"/>
      <c r="G78" s="81"/>
      <c r="H78" s="80" t="str">
        <f>IFERROR(VLOOKUP($A78,'Balancete 2016'!$A:$D,4,0), "0")</f>
        <v>0</v>
      </c>
      <c r="J78" s="57"/>
      <c r="K78" s="58"/>
      <c r="L78" s="58"/>
      <c r="M78" s="59"/>
    </row>
    <row r="79" spans="1:13">
      <c r="A79" s="84" t="s">
        <v>624</v>
      </c>
      <c r="B79" s="78">
        <v>6</v>
      </c>
      <c r="C79" s="78" t="s">
        <v>625</v>
      </c>
      <c r="D79" s="80" t="str">
        <f>IFERROR(VLOOKUP($A79,'Balancete 2015'!$A:$D,4,0), "0")</f>
        <v>0</v>
      </c>
      <c r="E79" s="81"/>
      <c r="F79" s="81"/>
      <c r="G79" s="81"/>
      <c r="H79" s="80" t="str">
        <f>IFERROR(VLOOKUP($A79,'Balancete 2016'!$A:$D,4,0), "0")</f>
        <v>0</v>
      </c>
      <c r="J79" s="57"/>
      <c r="K79" s="58"/>
      <c r="L79" s="58"/>
      <c r="M79" s="59"/>
    </row>
    <row r="80" spans="1:13">
      <c r="A80" s="84" t="s">
        <v>691</v>
      </c>
      <c r="B80" s="78">
        <v>0</v>
      </c>
      <c r="C80" s="78" t="s">
        <v>692</v>
      </c>
      <c r="D80" s="80">
        <f>IFERROR(VLOOKUP($A80,'Balancete 2015'!$A:$D,4,0), "0")</f>
        <v>3536300</v>
      </c>
      <c r="E80" s="81"/>
      <c r="F80" s="81"/>
      <c r="G80" s="81"/>
      <c r="H80" s="80">
        <f>IFERROR(VLOOKUP($A80,'Balancete 2016'!$A:$D,4,0), "0")</f>
        <v>3536300</v>
      </c>
      <c r="J80" s="57"/>
      <c r="K80" s="58"/>
      <c r="L80" s="58"/>
      <c r="M80" s="59"/>
    </row>
    <row r="81" spans="1:13">
      <c r="A81" s="84" t="s">
        <v>693</v>
      </c>
      <c r="B81" s="78">
        <v>8</v>
      </c>
      <c r="C81" s="78" t="s">
        <v>694</v>
      </c>
      <c r="D81" s="80" t="str">
        <f>IFERROR(VLOOKUP($A81,'Balancete 2015'!$A:$D,4,0), "0")</f>
        <v>0</v>
      </c>
      <c r="E81" s="81"/>
      <c r="F81" s="81"/>
      <c r="G81" s="81"/>
      <c r="H81" s="80" t="str">
        <f>IFERROR(VLOOKUP($A81,'Balancete 2016'!$A:$D,4,0), "0")</f>
        <v>0</v>
      </c>
      <c r="J81" s="57"/>
      <c r="K81" s="58"/>
      <c r="L81" s="58"/>
      <c r="M81" s="59"/>
    </row>
    <row r="82" spans="1:13">
      <c r="A82" s="84" t="s">
        <v>746</v>
      </c>
      <c r="B82" s="78"/>
      <c r="C82" s="78" t="s">
        <v>785</v>
      </c>
      <c r="D82" s="80"/>
      <c r="E82" s="81"/>
      <c r="F82" s="81"/>
      <c r="G82" s="81"/>
      <c r="H82" s="80" t="str">
        <f>IFERROR(VLOOKUP($A82,'Balancete 2016'!$A:$D,4,0), "0")</f>
        <v>0</v>
      </c>
      <c r="J82" s="57"/>
      <c r="K82" s="58"/>
      <c r="L82" s="58"/>
      <c r="M82" s="59"/>
    </row>
    <row r="83" spans="1:13">
      <c r="A83" s="84" t="s">
        <v>745</v>
      </c>
      <c r="B83" s="78"/>
      <c r="C83" s="78" t="s">
        <v>786</v>
      </c>
      <c r="D83" s="80"/>
      <c r="E83" s="81"/>
      <c r="F83" s="81"/>
      <c r="G83" s="81"/>
      <c r="H83" s="80" t="str">
        <f>IFERROR(VLOOKUP($A83,'Balancete 2016'!$A:$D,4,0), "0")</f>
        <v>0</v>
      </c>
      <c r="J83" s="57"/>
      <c r="K83" s="58"/>
      <c r="L83" s="58"/>
      <c r="M83" s="59"/>
    </row>
    <row r="84" spans="1:13">
      <c r="A84" s="84" t="s">
        <v>285</v>
      </c>
      <c r="B84" s="78">
        <v>-4</v>
      </c>
      <c r="C84" s="78" t="s">
        <v>416</v>
      </c>
      <c r="D84" s="80">
        <f>IFERROR(VLOOKUP($A84,'Balancete 2015'!$A:$D,4,0), "0")</f>
        <v>79281286</v>
      </c>
      <c r="E84" s="81"/>
      <c r="F84" s="81"/>
      <c r="G84" s="81"/>
      <c r="H84" s="80">
        <f>IFERROR(VLOOKUP($A84,'Balancete 2016'!$A:$D,4,0), "0")</f>
        <v>79281286</v>
      </c>
      <c r="J84" s="57"/>
      <c r="K84" s="58"/>
      <c r="L84" s="58"/>
      <c r="M84" s="59"/>
    </row>
    <row r="85" spans="1:13">
      <c r="A85" s="84" t="s">
        <v>286</v>
      </c>
      <c r="B85" s="78">
        <v>-2</v>
      </c>
      <c r="C85" s="78" t="s">
        <v>417</v>
      </c>
      <c r="D85" s="80">
        <f>IFERROR(VLOOKUP($A85,'Balancete 2015'!$A:$D,4,0), "0")</f>
        <v>79281286</v>
      </c>
      <c r="E85" s="81"/>
      <c r="F85" s="81"/>
      <c r="G85" s="81"/>
      <c r="H85" s="80">
        <f>IFERROR(VLOOKUP($A85,'Balancete 2016'!$A:$D,4,0), "0")</f>
        <v>79281286</v>
      </c>
      <c r="J85" s="57"/>
      <c r="K85" s="58"/>
      <c r="L85" s="58"/>
      <c r="M85" s="59"/>
    </row>
    <row r="86" spans="1:13">
      <c r="A86" s="84" t="s">
        <v>725</v>
      </c>
      <c r="B86" s="78">
        <v>0</v>
      </c>
      <c r="C86" s="78" t="s">
        <v>726</v>
      </c>
      <c r="D86" s="80"/>
      <c r="E86" s="81"/>
      <c r="F86" s="81"/>
      <c r="G86" s="81"/>
      <c r="H86" s="80" t="str">
        <f>IFERROR(VLOOKUP($A86,'Balancete 2016'!$A:$D,4,0), "0")</f>
        <v>0</v>
      </c>
      <c r="J86" s="57"/>
      <c r="K86" s="58"/>
      <c r="L86" s="58"/>
      <c r="M86" s="59"/>
    </row>
    <row r="87" spans="1:13">
      <c r="A87" s="84" t="s">
        <v>748</v>
      </c>
      <c r="B87" s="78">
        <v>9</v>
      </c>
      <c r="C87" s="78" t="s">
        <v>749</v>
      </c>
      <c r="D87" s="80"/>
      <c r="E87" s="81"/>
      <c r="F87" s="81"/>
      <c r="G87" s="81"/>
      <c r="H87" s="80" t="str">
        <f>IFERROR(VLOOKUP($A87,'Balancete 2016'!$A:$D,4,0), "0")</f>
        <v>0</v>
      </c>
      <c r="J87" s="57"/>
      <c r="K87" s="58"/>
      <c r="L87" s="58"/>
      <c r="M87" s="59"/>
    </row>
    <row r="88" spans="1:13">
      <c r="A88" s="84" t="s">
        <v>287</v>
      </c>
      <c r="B88" s="78">
        <v>-7</v>
      </c>
      <c r="C88" s="78" t="s">
        <v>418</v>
      </c>
      <c r="D88" s="80">
        <f>IFERROR(VLOOKUP($A88,'Balancete 2015'!$A:$D,4,0), "0")</f>
        <v>123776796</v>
      </c>
      <c r="E88" s="81"/>
      <c r="F88" s="81"/>
      <c r="G88" s="81"/>
      <c r="H88" s="80">
        <f>IFERROR(VLOOKUP($A88,'Balancete 2016'!$A:$D,4,0), "0")</f>
        <v>104734212</v>
      </c>
      <c r="J88" s="57"/>
      <c r="K88" s="58"/>
      <c r="L88" s="58"/>
      <c r="M88" s="59"/>
    </row>
    <row r="89" spans="1:13">
      <c r="A89" s="84" t="s">
        <v>288</v>
      </c>
      <c r="B89" s="78">
        <v>-5</v>
      </c>
      <c r="C89" s="78" t="s">
        <v>419</v>
      </c>
      <c r="D89" s="80">
        <f>IFERROR(VLOOKUP($A89,'Balancete 2015'!$A:$D,4,0), "0")</f>
        <v>190425840</v>
      </c>
      <c r="E89" s="81"/>
      <c r="F89" s="81"/>
      <c r="G89" s="81"/>
      <c r="H89" s="80">
        <f>IFERROR(VLOOKUP($A89,'Balancete 2016'!$A:$D,4,0), "0")</f>
        <v>190425840</v>
      </c>
      <c r="J89" s="57"/>
      <c r="K89" s="58"/>
      <c r="L89" s="58"/>
      <c r="M89" s="59"/>
    </row>
    <row r="90" spans="1:13">
      <c r="A90" s="84" t="s">
        <v>289</v>
      </c>
      <c r="B90" s="78">
        <v>-3</v>
      </c>
      <c r="C90" s="78" t="s">
        <v>420</v>
      </c>
      <c r="D90" s="80">
        <f>IFERROR(VLOOKUP($A90,'Balancete 2015'!$A:$D,4,0), "0")</f>
        <v>-66649044</v>
      </c>
      <c r="E90" s="81"/>
      <c r="F90" s="81"/>
      <c r="G90" s="81"/>
      <c r="H90" s="80">
        <f>IFERROR(VLOOKUP($A90,'Balancete 2016'!$A:$D,4,0), "0")</f>
        <v>-85691628</v>
      </c>
      <c r="J90" s="57"/>
      <c r="K90" s="58"/>
      <c r="L90" s="58"/>
      <c r="M90" s="59"/>
    </row>
    <row r="91" spans="1:13">
      <c r="A91" s="84" t="s">
        <v>750</v>
      </c>
      <c r="B91" s="78">
        <v>0</v>
      </c>
      <c r="C91" s="78" t="s">
        <v>751</v>
      </c>
      <c r="D91" s="80"/>
      <c r="E91" s="81"/>
      <c r="F91" s="81"/>
      <c r="G91" s="81"/>
      <c r="H91" s="80">
        <f>IFERROR(VLOOKUP($A91,'Balancete 2016'!$A:$D,4,0), "0")</f>
        <v>62580998.619999997</v>
      </c>
      <c r="J91" s="57"/>
      <c r="K91" s="58"/>
      <c r="L91" s="58"/>
      <c r="M91" s="59"/>
    </row>
    <row r="92" spans="1:13">
      <c r="A92" s="84" t="s">
        <v>752</v>
      </c>
      <c r="B92" s="78">
        <v>8</v>
      </c>
      <c r="C92" s="78" t="s">
        <v>753</v>
      </c>
      <c r="D92" s="80"/>
      <c r="E92" s="81"/>
      <c r="F92" s="81"/>
      <c r="G92" s="81"/>
      <c r="H92" s="80">
        <f>IFERROR(VLOOKUP($A92,'Balancete 2016'!$A:$D,4,0), "0")</f>
        <v>66011000</v>
      </c>
      <c r="J92" s="57"/>
      <c r="K92" s="58"/>
      <c r="L92" s="58"/>
      <c r="M92" s="59"/>
    </row>
    <row r="93" spans="1:13">
      <c r="A93" s="84" t="s">
        <v>754</v>
      </c>
      <c r="B93" s="78">
        <v>6</v>
      </c>
      <c r="C93" s="78" t="s">
        <v>747</v>
      </c>
      <c r="D93" s="80"/>
      <c r="E93" s="81"/>
      <c r="F93" s="81"/>
      <c r="G93" s="81"/>
      <c r="H93" s="80">
        <f>IFERROR(VLOOKUP($A93,'Balancete 2016'!$A:$D,4,0), "0")</f>
        <v>-3430001.38</v>
      </c>
      <c r="J93" s="57"/>
      <c r="K93" s="58"/>
      <c r="L93" s="58"/>
      <c r="M93" s="59"/>
    </row>
    <row r="94" spans="1:13">
      <c r="A94" s="77" t="s">
        <v>1018</v>
      </c>
      <c r="B94" s="78">
        <v>0</v>
      </c>
      <c r="C94" s="103" t="s">
        <v>1019</v>
      </c>
      <c r="D94" s="80"/>
      <c r="E94" s="81"/>
      <c r="F94" s="81"/>
      <c r="G94" s="81"/>
      <c r="H94" s="80">
        <f>IFERROR(VLOOKUP($A94,'Balancete 2016'!$A:$D,4,0), "0")</f>
        <v>-34475887.07</v>
      </c>
      <c r="J94" s="57"/>
      <c r="K94" s="58"/>
      <c r="L94" s="58"/>
      <c r="M94" s="59"/>
    </row>
    <row r="95" spans="1:13">
      <c r="A95" s="77" t="s">
        <v>1020</v>
      </c>
      <c r="B95" s="78">
        <v>-4</v>
      </c>
      <c r="C95" s="103" t="s">
        <v>1021</v>
      </c>
      <c r="D95" s="80"/>
      <c r="E95" s="81"/>
      <c r="F95" s="81"/>
      <c r="G95" s="81"/>
      <c r="H95" s="80">
        <f>IFERROR(VLOOKUP($A95,'Balancete 2016'!$A:$D,4,0), "0")</f>
        <v>-34475887.07</v>
      </c>
      <c r="J95" s="57"/>
      <c r="K95" s="58"/>
      <c r="L95" s="58"/>
      <c r="M95" s="59"/>
    </row>
    <row r="96" spans="1:13">
      <c r="A96" s="77" t="s">
        <v>1022</v>
      </c>
      <c r="B96" s="78">
        <v>-9</v>
      </c>
      <c r="C96" s="103" t="s">
        <v>1023</v>
      </c>
      <c r="D96" s="80"/>
      <c r="E96" s="81"/>
      <c r="F96" s="81"/>
      <c r="G96" s="81"/>
      <c r="H96" s="80">
        <f>IFERROR(VLOOKUP($A96,'Balancete 2016'!$A:$D,4,0), "0")</f>
        <v>-34475887.07</v>
      </c>
      <c r="J96" s="57"/>
      <c r="K96" s="58"/>
      <c r="L96" s="58"/>
      <c r="M96" s="59"/>
    </row>
    <row r="97" spans="1:13">
      <c r="A97" s="84" t="s">
        <v>322</v>
      </c>
      <c r="B97" s="78">
        <v>-8</v>
      </c>
      <c r="C97" s="78" t="s">
        <v>33</v>
      </c>
      <c r="D97" s="80">
        <f>IFERROR(VLOOKUP($A97,'Balancete 2015'!$A:$D,4,0), "0")</f>
        <v>0</v>
      </c>
      <c r="E97" s="81">
        <v>600</v>
      </c>
      <c r="F97" s="81"/>
      <c r="G97" s="81"/>
      <c r="H97" s="80">
        <f>IFERROR(VLOOKUP($A97,'Balancete 2016'!$A:$D,4,0), "0")</f>
        <v>0</v>
      </c>
      <c r="J97" s="57"/>
      <c r="K97" s="58"/>
      <c r="L97" s="58"/>
      <c r="M97" s="59"/>
    </row>
    <row r="98" spans="1:13">
      <c r="A98" s="84" t="s">
        <v>34</v>
      </c>
      <c r="B98" s="78">
        <v>0</v>
      </c>
      <c r="C98" s="78" t="s">
        <v>35</v>
      </c>
      <c r="D98" s="80">
        <f>IFERROR(VLOOKUP($A98,'Balancete 2015'!$A:$D,4,0), "0")</f>
        <v>0</v>
      </c>
      <c r="E98" s="81"/>
      <c r="F98" s="81"/>
      <c r="G98" s="81"/>
      <c r="H98" s="80">
        <f>IFERROR(VLOOKUP($A98,'Balancete 2016'!$A:$D,4,0), "0")</f>
        <v>0</v>
      </c>
      <c r="J98" s="57"/>
      <c r="K98" s="58"/>
      <c r="L98" s="58"/>
      <c r="M98" s="59"/>
    </row>
    <row r="99" spans="1:13">
      <c r="A99" s="84" t="s">
        <v>421</v>
      </c>
      <c r="B99" s="78">
        <v>-8</v>
      </c>
      <c r="C99" s="78" t="s">
        <v>422</v>
      </c>
      <c r="D99" s="80">
        <f>IFERROR(VLOOKUP($A99,'Balancete 2015'!$A:$D,4,0), "0")</f>
        <v>1500</v>
      </c>
      <c r="E99" s="81"/>
      <c r="F99" s="81"/>
      <c r="G99" s="81"/>
      <c r="H99" s="80">
        <f>IFERROR(VLOOKUP($A99,'Balancete 2016'!$A:$D,4,0), "0")</f>
        <v>1500</v>
      </c>
      <c r="J99" s="57"/>
      <c r="K99" s="58"/>
      <c r="L99" s="58"/>
      <c r="M99" s="59"/>
    </row>
    <row r="100" spans="1:13">
      <c r="A100" s="84" t="s">
        <v>423</v>
      </c>
      <c r="B100" s="78">
        <v>0</v>
      </c>
      <c r="C100" s="78" t="s">
        <v>424</v>
      </c>
      <c r="D100" s="80">
        <f>IFERROR(VLOOKUP($A100,'Balancete 2015'!$A:$D,4,0), "0")</f>
        <v>1500</v>
      </c>
      <c r="E100" s="81"/>
      <c r="F100" s="81"/>
      <c r="G100" s="81"/>
      <c r="H100" s="80">
        <f>IFERROR(VLOOKUP($A100,'Balancete 2016'!$A:$D,4,0), "0")</f>
        <v>1500</v>
      </c>
      <c r="J100" s="57"/>
      <c r="K100" s="58"/>
      <c r="L100" s="58"/>
      <c r="M100" s="59"/>
    </row>
    <row r="101" spans="1:13">
      <c r="A101" s="84" t="s">
        <v>425</v>
      </c>
      <c r="B101" s="78">
        <v>-9</v>
      </c>
      <c r="C101" s="78" t="s">
        <v>424</v>
      </c>
      <c r="D101" s="80">
        <f>IFERROR(VLOOKUP($A101,'Balancete 2015'!$A:$D,4,0), "0")</f>
        <v>1500</v>
      </c>
      <c r="E101" s="81"/>
      <c r="F101" s="81"/>
      <c r="G101" s="81"/>
      <c r="H101" s="80">
        <f>IFERROR(VLOOKUP($A101,'Balancete 2016'!$A:$D,4,0), "0")</f>
        <v>1500</v>
      </c>
      <c r="J101" s="57"/>
      <c r="K101" s="58"/>
      <c r="L101" s="58"/>
      <c r="M101" s="59"/>
    </row>
    <row r="102" spans="1:13">
      <c r="A102" s="84" t="s">
        <v>36</v>
      </c>
      <c r="B102" s="78">
        <v>-4</v>
      </c>
      <c r="C102" s="78" t="s">
        <v>37</v>
      </c>
      <c r="D102" s="80">
        <f>IFERROR(VLOOKUP($A102,'Balancete 2015'!$A:$D,4,0), "0")</f>
        <v>-1500</v>
      </c>
      <c r="E102" s="81"/>
      <c r="F102" s="81"/>
      <c r="G102" s="81"/>
      <c r="H102" s="80">
        <f>IFERROR(VLOOKUP($A102,'Balancete 2016'!$A:$D,4,0), "0")</f>
        <v>-1500</v>
      </c>
      <c r="J102" s="57"/>
      <c r="K102" s="58"/>
      <c r="L102" s="58"/>
      <c r="M102" s="59"/>
    </row>
    <row r="103" spans="1:13">
      <c r="A103" s="84" t="s">
        <v>38</v>
      </c>
      <c r="B103" s="78">
        <v>0</v>
      </c>
      <c r="C103" s="78" t="s">
        <v>426</v>
      </c>
      <c r="D103" s="80">
        <f>IFERROR(VLOOKUP($A103,'Balancete 2015'!$A:$D,4,0), "0")</f>
        <v>-1500</v>
      </c>
      <c r="E103" s="81"/>
      <c r="F103" s="81"/>
      <c r="G103" s="81"/>
      <c r="H103" s="80">
        <f>IFERROR(VLOOKUP($A103,'Balancete 2016'!$A:$D,4,0), "0")</f>
        <v>-1500</v>
      </c>
      <c r="J103" s="57"/>
      <c r="K103" s="58"/>
      <c r="L103" s="58"/>
      <c r="M103" s="59"/>
    </row>
    <row r="104" spans="1:13">
      <c r="A104" s="84" t="s">
        <v>39</v>
      </c>
      <c r="B104" s="78">
        <v>-4</v>
      </c>
      <c r="C104" s="78" t="s">
        <v>427</v>
      </c>
      <c r="D104" s="80">
        <f>IFERROR(VLOOKUP($A104,'Balancete 2015'!$A:$D,4,0), "0")</f>
        <v>-1500</v>
      </c>
      <c r="E104" s="81"/>
      <c r="F104" s="81"/>
      <c r="G104" s="81"/>
      <c r="H104" s="80">
        <f>IFERROR(VLOOKUP($A104,'Balancete 2016'!$A:$D,4,0), "0")</f>
        <v>-1500</v>
      </c>
      <c r="J104" s="57"/>
      <c r="K104" s="58"/>
      <c r="L104" s="58"/>
      <c r="M104" s="59"/>
    </row>
    <row r="105" spans="1:13">
      <c r="A105" s="84">
        <v>4</v>
      </c>
      <c r="B105" s="78">
        <v>-6</v>
      </c>
      <c r="C105" s="78" t="s">
        <v>346</v>
      </c>
      <c r="D105" s="80">
        <f>IFERROR(VLOOKUP($A105,'Balancete 2015'!$A:$D,4,0), "0")</f>
        <v>707626443.39999998</v>
      </c>
      <c r="E105" s="81"/>
      <c r="F105" s="81"/>
      <c r="G105" s="81"/>
      <c r="H105" s="80">
        <f>IFERROR(VLOOKUP($A105,'Balancete 2016'!$A:$D,4,0), "0")</f>
        <v>289788546.97000003</v>
      </c>
      <c r="J105" s="57"/>
      <c r="K105" s="58"/>
      <c r="L105" s="58"/>
      <c r="M105" s="59"/>
    </row>
    <row r="106" spans="1:13">
      <c r="A106" s="84" t="s">
        <v>158</v>
      </c>
      <c r="B106" s="78">
        <v>-1</v>
      </c>
      <c r="C106" s="78" t="s">
        <v>159</v>
      </c>
      <c r="D106" s="80">
        <f>IFERROR(VLOOKUP($A106,'Balancete 2015'!$A:$D,4,0), "0")</f>
        <v>707626443.39999998</v>
      </c>
      <c r="E106" s="81"/>
      <c r="F106" s="81"/>
      <c r="G106" s="81"/>
      <c r="H106" s="80">
        <f>IFERROR(VLOOKUP($A106,'Balancete 2016'!$A:$D,4,0), "0")</f>
        <v>289788546.97000003</v>
      </c>
      <c r="J106" s="57"/>
      <c r="K106" s="58"/>
      <c r="L106" s="58"/>
      <c r="M106" s="59"/>
    </row>
    <row r="107" spans="1:13">
      <c r="A107" s="84" t="s">
        <v>323</v>
      </c>
      <c r="B107" s="78">
        <v>-6</v>
      </c>
      <c r="C107" s="78" t="s">
        <v>308</v>
      </c>
      <c r="D107" s="80">
        <f>IFERROR(VLOOKUP($A107,'Balancete 2015'!$A:$D,4,0), "0")</f>
        <v>16458998.84</v>
      </c>
      <c r="E107" s="81"/>
      <c r="F107" s="81"/>
      <c r="G107" s="81"/>
      <c r="H107" s="80" t="str">
        <f>IFERROR(VLOOKUP($A107,'Balancete 2016'!$A:$D,4,0), "0")</f>
        <v>0</v>
      </c>
      <c r="J107" s="57"/>
      <c r="K107" s="58"/>
      <c r="L107" s="58"/>
      <c r="M107" s="59"/>
    </row>
    <row r="108" spans="1:13">
      <c r="A108" s="84" t="s">
        <v>309</v>
      </c>
      <c r="B108" s="78">
        <v>0</v>
      </c>
      <c r="C108" s="78" t="s">
        <v>310</v>
      </c>
      <c r="D108" s="80">
        <f>IFERROR(VLOOKUP($A108,'Balancete 2015'!$A:$D,4,0), "0")</f>
        <v>16458998.84</v>
      </c>
      <c r="E108" s="81"/>
      <c r="F108" s="81"/>
      <c r="G108" s="81"/>
      <c r="H108" s="80" t="str">
        <f>IFERROR(VLOOKUP($A108,'Balancete 2016'!$A:$D,4,0), "0")</f>
        <v>0</v>
      </c>
      <c r="J108" s="57"/>
      <c r="K108" s="58"/>
      <c r="L108" s="58"/>
      <c r="M108" s="59"/>
    </row>
    <row r="109" spans="1:13">
      <c r="A109" s="84" t="s">
        <v>311</v>
      </c>
      <c r="B109" s="78">
        <v>-1</v>
      </c>
      <c r="C109" s="78" t="s">
        <v>312</v>
      </c>
      <c r="D109" s="80">
        <f>IFERROR(VLOOKUP($A109,'Balancete 2015'!$A:$D,4,0), "0")</f>
        <v>16458998.84</v>
      </c>
      <c r="E109" s="81"/>
      <c r="F109" s="81"/>
      <c r="G109" s="81"/>
      <c r="H109" s="80" t="str">
        <f>IFERROR(VLOOKUP($A109,'Balancete 2016'!$A:$D,4,0), "0")</f>
        <v>0</v>
      </c>
      <c r="J109" s="57"/>
      <c r="K109" s="58"/>
      <c r="L109" s="58"/>
      <c r="M109" s="59"/>
    </row>
    <row r="110" spans="1:13">
      <c r="A110" s="84" t="s">
        <v>247</v>
      </c>
      <c r="B110" s="78">
        <v>0</v>
      </c>
      <c r="C110" s="78" t="s">
        <v>313</v>
      </c>
      <c r="D110" s="80">
        <f>IFERROR(VLOOKUP($A110,'Balancete 2015'!$A:$D,4,0), "0")</f>
        <v>16458998.84</v>
      </c>
      <c r="E110" s="81">
        <v>700</v>
      </c>
      <c r="F110" s="81"/>
      <c r="G110" s="81"/>
      <c r="H110" s="80" t="str">
        <f>IFERROR(VLOOKUP($A110,'Balancete 2016'!$A:$D,4,0), "0")</f>
        <v>0</v>
      </c>
      <c r="J110" s="57"/>
      <c r="K110" s="58"/>
      <c r="L110" s="58"/>
      <c r="M110" s="59"/>
    </row>
    <row r="111" spans="1:13">
      <c r="A111" s="84" t="s">
        <v>160</v>
      </c>
      <c r="B111" s="78">
        <v>-4</v>
      </c>
      <c r="C111" s="78" t="s">
        <v>161</v>
      </c>
      <c r="D111" s="80">
        <f>IFERROR(VLOOKUP($A111,'Balancete 2015'!$A:$D,4,0), "0")</f>
        <v>270556978.81999999</v>
      </c>
      <c r="E111" s="81"/>
      <c r="F111" s="81"/>
      <c r="G111" s="81"/>
      <c r="H111" s="80">
        <f>IFERROR(VLOOKUP($A111,'Balancete 2016'!$A:$D,4,0), "0")</f>
        <v>278598885.00999999</v>
      </c>
      <c r="J111" s="57"/>
      <c r="K111" s="58"/>
      <c r="L111" s="58"/>
      <c r="M111" s="59"/>
    </row>
    <row r="112" spans="1:13">
      <c r="A112" s="84" t="s">
        <v>324</v>
      </c>
      <c r="B112" s="78">
        <v>-8</v>
      </c>
      <c r="C112" s="78" t="s">
        <v>519</v>
      </c>
      <c r="D112" s="80">
        <f>IFERROR(VLOOKUP($A112,'Balancete 2015'!$A:$D,4,0), "0")</f>
        <v>6497213.3200000003</v>
      </c>
      <c r="E112" s="81"/>
      <c r="F112" s="81"/>
      <c r="G112" s="81"/>
      <c r="H112" s="80">
        <f>IFERROR(VLOOKUP($A112,'Balancete 2016'!$A:$D,4,0), "0")</f>
        <v>15529826.710000001</v>
      </c>
      <c r="J112" s="57"/>
      <c r="K112" s="58"/>
      <c r="L112" s="58"/>
      <c r="M112" s="59"/>
    </row>
    <row r="113" spans="1:13">
      <c r="A113" s="84" t="s">
        <v>162</v>
      </c>
      <c r="B113" s="78">
        <v>0</v>
      </c>
      <c r="C113" s="78" t="s">
        <v>520</v>
      </c>
      <c r="D113" s="80">
        <f>IFERROR(VLOOKUP($A113,'Balancete 2015'!$A:$D,4,0), "0")</f>
        <v>6497213.3200000003</v>
      </c>
      <c r="E113" s="81">
        <v>800</v>
      </c>
      <c r="F113" s="81"/>
      <c r="G113" s="81"/>
      <c r="H113" s="80">
        <f>IFERROR(VLOOKUP($A113,'Balancete 2016'!$A:$D,4,0), "0")</f>
        <v>15529826.710000001</v>
      </c>
      <c r="J113" s="57"/>
      <c r="K113" s="58"/>
      <c r="L113" s="58"/>
      <c r="M113" s="59"/>
    </row>
    <row r="114" spans="1:13">
      <c r="A114" s="84" t="s">
        <v>301</v>
      </c>
      <c r="B114" s="78">
        <v>-8</v>
      </c>
      <c r="C114" s="78" t="s">
        <v>521</v>
      </c>
      <c r="D114" s="80">
        <f>IFERROR(VLOOKUP($A114,'Balancete 2015'!$A:$D,4,0), "0")</f>
        <v>5907551.6799999997</v>
      </c>
      <c r="E114" s="81"/>
      <c r="F114" s="81"/>
      <c r="G114" s="81"/>
      <c r="H114" s="80">
        <f>IFERROR(VLOOKUP($A114,'Balancete 2016'!$A:$D,4,0), "0")</f>
        <v>15043056.390000001</v>
      </c>
      <c r="J114" s="57"/>
      <c r="K114" s="58"/>
      <c r="L114" s="58"/>
      <c r="M114" s="59"/>
    </row>
    <row r="115" spans="1:13">
      <c r="A115" s="84" t="s">
        <v>163</v>
      </c>
      <c r="B115" s="78">
        <v>-6</v>
      </c>
      <c r="C115" s="78" t="s">
        <v>522</v>
      </c>
      <c r="D115" s="80">
        <f>IFERROR(VLOOKUP($A115,'Balancete 2015'!$A:$D,4,0), "0")</f>
        <v>60830.99</v>
      </c>
      <c r="E115" s="81"/>
      <c r="F115" s="81"/>
      <c r="G115" s="81"/>
      <c r="H115" s="80" t="str">
        <f>IFERROR(VLOOKUP($A115,'Balancete 2016'!$A:$D,4,0), "0")</f>
        <v>0</v>
      </c>
      <c r="J115" s="57"/>
      <c r="K115" s="58"/>
      <c r="L115" s="58"/>
      <c r="M115" s="59"/>
    </row>
    <row r="116" spans="1:13">
      <c r="A116" s="84" t="s">
        <v>164</v>
      </c>
      <c r="B116" s="78">
        <v>-4</v>
      </c>
      <c r="C116" s="78" t="s">
        <v>523</v>
      </c>
      <c r="D116" s="80">
        <f>IFERROR(VLOOKUP($A116,'Balancete 2015'!$A:$D,4,0), "0")</f>
        <v>450090.45</v>
      </c>
      <c r="E116" s="81"/>
      <c r="F116" s="81"/>
      <c r="G116" s="81"/>
      <c r="H116" s="80">
        <f>IFERROR(VLOOKUP($A116,'Balancete 2016'!$A:$D,4,0), "0")</f>
        <v>418292.25</v>
      </c>
      <c r="J116" s="57"/>
      <c r="K116" s="58"/>
      <c r="L116" s="58"/>
      <c r="M116" s="59"/>
    </row>
    <row r="117" spans="1:13">
      <c r="A117" s="84" t="s">
        <v>165</v>
      </c>
      <c r="B117" s="78">
        <v>-2</v>
      </c>
      <c r="C117" s="78" t="s">
        <v>524</v>
      </c>
      <c r="D117" s="80">
        <f>IFERROR(VLOOKUP($A117,'Balancete 2015'!$A:$D,4,0), "0")</f>
        <v>78740.2</v>
      </c>
      <c r="E117" s="81"/>
      <c r="F117" s="81"/>
      <c r="G117" s="81"/>
      <c r="H117" s="80">
        <f>IFERROR(VLOOKUP($A117,'Balancete 2016'!$A:$D,4,0), "0")</f>
        <v>68478.070000000007</v>
      </c>
      <c r="J117" s="57"/>
      <c r="K117" s="58"/>
      <c r="L117" s="58"/>
      <c r="M117" s="59"/>
    </row>
    <row r="118" spans="1:13">
      <c r="A118" s="84" t="s">
        <v>525</v>
      </c>
      <c r="B118" s="78">
        <v>-1</v>
      </c>
      <c r="C118" s="78" t="s">
        <v>526</v>
      </c>
      <c r="D118" s="80">
        <f>IFERROR(VLOOKUP($A118,'Balancete 2015'!$A:$D,4,0), "0")</f>
        <v>14343.75</v>
      </c>
      <c r="E118" s="81">
        <v>900</v>
      </c>
      <c r="F118" s="81"/>
      <c r="G118" s="81"/>
      <c r="H118" s="80">
        <f>IFERROR(VLOOKUP($A118,'Balancete 2016'!$A:$D,4,0), "0")</f>
        <v>77074.44</v>
      </c>
      <c r="J118" s="57"/>
      <c r="K118" s="58"/>
      <c r="L118" s="58"/>
      <c r="M118" s="59"/>
    </row>
    <row r="119" spans="1:13">
      <c r="A119" s="84" t="s">
        <v>527</v>
      </c>
      <c r="B119" s="78">
        <v>-9</v>
      </c>
      <c r="C119" s="78" t="s">
        <v>528</v>
      </c>
      <c r="D119" s="80">
        <f>IFERROR(VLOOKUP($A119,'Balancete 2015'!$A:$D,4,0), "0")</f>
        <v>14343.75</v>
      </c>
      <c r="E119" s="81"/>
      <c r="F119" s="81"/>
      <c r="G119" s="81"/>
      <c r="H119" s="80">
        <f>IFERROR(VLOOKUP($A119,'Balancete 2016'!$A:$D,4,0), "0")</f>
        <v>30184.83</v>
      </c>
      <c r="J119" s="57"/>
      <c r="K119" s="58"/>
      <c r="L119" s="58"/>
      <c r="M119" s="59"/>
    </row>
    <row r="120" spans="1:13">
      <c r="A120" s="84" t="s">
        <v>529</v>
      </c>
      <c r="B120" s="78">
        <v>-5</v>
      </c>
      <c r="C120" s="78" t="s">
        <v>530</v>
      </c>
      <c r="D120" s="80">
        <f>IFERROR(VLOOKUP($A120,'Balancete 2015'!$A:$D,4,0), "0")</f>
        <v>14343.75</v>
      </c>
      <c r="E120" s="81"/>
      <c r="F120" s="81"/>
      <c r="G120" s="81"/>
      <c r="H120" s="80">
        <f>IFERROR(VLOOKUP($A120,'Balancete 2016'!$A:$D,4,0), "0")</f>
        <v>30184.83</v>
      </c>
      <c r="J120" s="57"/>
      <c r="K120" s="58"/>
      <c r="L120" s="58"/>
      <c r="M120" s="59"/>
    </row>
    <row r="121" spans="1:13">
      <c r="A121" s="84" t="s">
        <v>769</v>
      </c>
      <c r="B121" s="78">
        <v>0</v>
      </c>
      <c r="C121" s="78" t="s">
        <v>770</v>
      </c>
      <c r="D121" s="80"/>
      <c r="E121" s="81"/>
      <c r="F121" s="81"/>
      <c r="G121" s="81"/>
      <c r="H121" s="80">
        <f>IFERROR(VLOOKUP($A121,'Balancete 2016'!$A:$D,4,0), "0")</f>
        <v>46889.61</v>
      </c>
      <c r="J121" s="57"/>
      <c r="K121" s="58"/>
      <c r="L121" s="58"/>
      <c r="M121" s="62"/>
    </row>
    <row r="122" spans="1:13">
      <c r="A122" s="84" t="s">
        <v>771</v>
      </c>
      <c r="B122" s="78">
        <v>9</v>
      </c>
      <c r="C122" s="78" t="s">
        <v>772</v>
      </c>
      <c r="D122" s="80"/>
      <c r="E122" s="81"/>
      <c r="F122" s="81"/>
      <c r="G122" s="81"/>
      <c r="H122" s="80">
        <f>IFERROR(VLOOKUP($A122,'Balancete 2016'!$A:$D,4,0), "0")</f>
        <v>11436.49</v>
      </c>
      <c r="J122" s="57"/>
      <c r="K122" s="58"/>
      <c r="L122" s="58"/>
      <c r="M122" s="62"/>
    </row>
    <row r="123" spans="1:13">
      <c r="A123" s="84" t="s">
        <v>773</v>
      </c>
      <c r="B123" s="78">
        <v>8</v>
      </c>
      <c r="C123" s="78" t="s">
        <v>774</v>
      </c>
      <c r="D123" s="80"/>
      <c r="E123" s="81"/>
      <c r="F123" s="81"/>
      <c r="G123" s="81"/>
      <c r="H123" s="80">
        <f>IFERROR(VLOOKUP($A123,'Balancete 2016'!$A:$D,4,0), "0")</f>
        <v>7624.33</v>
      </c>
      <c r="J123" s="57"/>
      <c r="K123" s="58"/>
      <c r="L123" s="58"/>
      <c r="M123" s="62"/>
    </row>
    <row r="124" spans="1:13">
      <c r="A124" s="84" t="s">
        <v>775</v>
      </c>
      <c r="B124" s="78">
        <v>6</v>
      </c>
      <c r="C124" s="78" t="s">
        <v>776</v>
      </c>
      <c r="D124" s="80"/>
      <c r="E124" s="81"/>
      <c r="F124" s="81"/>
      <c r="G124" s="81"/>
      <c r="H124" s="80">
        <f>IFERROR(VLOOKUP($A124,'Balancete 2016'!$A:$D,4,0), "0")</f>
        <v>22872.98</v>
      </c>
      <c r="J124" s="57"/>
      <c r="K124" s="58"/>
      <c r="L124" s="58"/>
      <c r="M124" s="62"/>
    </row>
    <row r="125" spans="1:13">
      <c r="A125" s="84" t="s">
        <v>777</v>
      </c>
      <c r="B125" s="78">
        <v>4</v>
      </c>
      <c r="C125" s="78" t="s">
        <v>778</v>
      </c>
      <c r="D125" s="80"/>
      <c r="E125" s="81"/>
      <c r="F125" s="81"/>
      <c r="G125" s="81"/>
      <c r="H125" s="80">
        <f>IFERROR(VLOOKUP($A125,'Balancete 2016'!$A:$D,4,0), "0")</f>
        <v>4955.8100000000004</v>
      </c>
      <c r="J125" s="57"/>
      <c r="K125" s="58"/>
      <c r="L125" s="58"/>
      <c r="M125" s="62"/>
    </row>
    <row r="126" spans="1:13">
      <c r="A126" s="84" t="s">
        <v>326</v>
      </c>
      <c r="B126" s="78">
        <v>-5</v>
      </c>
      <c r="C126" s="78" t="s">
        <v>531</v>
      </c>
      <c r="D126" s="80">
        <f>IFERROR(VLOOKUP($A126,'Balancete 2015'!$A:$D,4,0), "0")</f>
        <v>264045421.75</v>
      </c>
      <c r="E126" s="81">
        <v>910</v>
      </c>
      <c r="F126" s="81"/>
      <c r="G126" s="81"/>
      <c r="H126" s="80">
        <f>IFERROR(VLOOKUP($A126,'Balancete 2016'!$A:$D,4,0), "0")</f>
        <v>262991983.86000001</v>
      </c>
      <c r="J126" s="57"/>
      <c r="K126" s="58"/>
      <c r="L126" s="58"/>
      <c r="M126" s="59"/>
    </row>
    <row r="127" spans="1:13">
      <c r="A127" s="84" t="s">
        <v>166</v>
      </c>
      <c r="B127" s="78">
        <v>-1</v>
      </c>
      <c r="C127" s="78" t="s">
        <v>167</v>
      </c>
      <c r="D127" s="80">
        <f>IFERROR(VLOOKUP($A127,'Balancete 2015'!$A:$D,4,0), "0")</f>
        <v>264045421.75</v>
      </c>
      <c r="E127" s="81"/>
      <c r="F127" s="81"/>
      <c r="G127" s="81"/>
      <c r="H127" s="80">
        <f>IFERROR(VLOOKUP($A127,'Balancete 2016'!$A:$D,4,0), "0")</f>
        <v>262991983.86000001</v>
      </c>
      <c r="J127" s="57"/>
      <c r="K127" s="58"/>
      <c r="L127" s="58"/>
      <c r="M127" s="59"/>
    </row>
    <row r="128" spans="1:13">
      <c r="A128" s="84" t="s">
        <v>168</v>
      </c>
      <c r="B128" s="78">
        <v>0</v>
      </c>
      <c r="C128" s="78" t="s">
        <v>532</v>
      </c>
      <c r="D128" s="80">
        <f>IFERROR(VLOOKUP($A128,'Balancete 2015'!$A:$D,4,0), "0")</f>
        <v>203144782.16</v>
      </c>
      <c r="E128" s="81"/>
      <c r="F128" s="81"/>
      <c r="G128" s="81"/>
      <c r="H128" s="80">
        <f>IFERROR(VLOOKUP($A128,'Balancete 2016'!$A:$D,4,0), "0")</f>
        <v>202334313.97999999</v>
      </c>
      <c r="J128" s="57"/>
      <c r="K128" s="58"/>
      <c r="L128" s="58"/>
      <c r="M128" s="59"/>
    </row>
    <row r="129" spans="1:13">
      <c r="A129" s="84" t="s">
        <v>169</v>
      </c>
      <c r="B129" s="78">
        <v>-8</v>
      </c>
      <c r="C129" s="78" t="s">
        <v>533</v>
      </c>
      <c r="D129" s="80">
        <f>IFERROR(VLOOKUP($A129,'Balancete 2015'!$A:$D,4,0), "0")</f>
        <v>60900639.590000004</v>
      </c>
      <c r="E129" s="81"/>
      <c r="F129" s="81"/>
      <c r="G129" s="81"/>
      <c r="H129" s="80">
        <f>IFERROR(VLOOKUP($A129,'Balancete 2016'!$A:$D,4,0), "0")</f>
        <v>60657669.880000003</v>
      </c>
      <c r="J129" s="57"/>
      <c r="K129" s="58"/>
      <c r="L129" s="58"/>
      <c r="M129" s="59"/>
    </row>
    <row r="130" spans="1:13">
      <c r="A130" s="84" t="s">
        <v>325</v>
      </c>
      <c r="B130" s="78">
        <v>-5</v>
      </c>
      <c r="C130" s="78" t="s">
        <v>170</v>
      </c>
      <c r="D130" s="80">
        <f>IFERROR(VLOOKUP($A130,'Balancete 2015'!$A:$D,4,0), "0")</f>
        <v>420610465.74000001</v>
      </c>
      <c r="E130" s="81">
        <v>920</v>
      </c>
      <c r="F130" s="81"/>
      <c r="G130" s="81"/>
      <c r="H130" s="80">
        <f>IFERROR(VLOOKUP($A130,'Balancete 2016'!$A:$D,4,0), "0")</f>
        <v>11189661.960000001</v>
      </c>
      <c r="J130" s="57"/>
      <c r="K130" s="58"/>
      <c r="L130" s="58"/>
      <c r="M130" s="59"/>
    </row>
    <row r="131" spans="1:13">
      <c r="A131" s="84" t="s">
        <v>171</v>
      </c>
      <c r="B131" s="78">
        <v>-6</v>
      </c>
      <c r="C131" s="78" t="s">
        <v>172</v>
      </c>
      <c r="D131" s="80">
        <f>IFERROR(VLOOKUP($A131,'Balancete 2015'!$A:$D,4,0), "0")</f>
        <v>754994.43</v>
      </c>
      <c r="E131" s="81"/>
      <c r="F131" s="81"/>
      <c r="G131" s="81"/>
      <c r="H131" s="80">
        <f>IFERROR(VLOOKUP($A131,'Balancete 2016'!$A:$D,4,0), "0")</f>
        <v>786698.77</v>
      </c>
      <c r="J131" s="57"/>
      <c r="K131" s="58"/>
      <c r="L131" s="58"/>
      <c r="M131" s="59"/>
    </row>
    <row r="132" spans="1:13">
      <c r="A132" s="84" t="s">
        <v>173</v>
      </c>
      <c r="B132" s="78">
        <v>-8</v>
      </c>
      <c r="C132" s="78" t="s">
        <v>534</v>
      </c>
      <c r="D132" s="80">
        <f>IFERROR(VLOOKUP($A132,'Balancete 2015'!$A:$D,4,0), "0")</f>
        <v>754994.43</v>
      </c>
      <c r="E132" s="81"/>
      <c r="F132" s="81"/>
      <c r="G132" s="81"/>
      <c r="H132" s="80">
        <f>IFERROR(VLOOKUP($A132,'Balancete 2016'!$A:$D,4,0), "0")</f>
        <v>786698.77</v>
      </c>
      <c r="J132" s="57"/>
      <c r="K132" s="58"/>
      <c r="L132" s="58"/>
      <c r="M132" s="59"/>
    </row>
    <row r="133" spans="1:13">
      <c r="A133" s="84" t="s">
        <v>535</v>
      </c>
      <c r="B133" s="78">
        <v>-6</v>
      </c>
      <c r="C133" s="78" t="s">
        <v>536</v>
      </c>
      <c r="D133" s="80">
        <f>IFERROR(VLOOKUP($A133,'Balancete 2015'!$A:$D,4,0), "0")</f>
        <v>150327.41</v>
      </c>
      <c r="E133" s="81"/>
      <c r="F133" s="81"/>
      <c r="G133" s="81"/>
      <c r="H133" s="80">
        <f>IFERROR(VLOOKUP($A133,'Balancete 2016'!$A:$D,4,0), "0")</f>
        <v>163934.32</v>
      </c>
      <c r="J133" s="57"/>
      <c r="K133" s="58"/>
      <c r="L133" s="58"/>
      <c r="M133" s="59"/>
    </row>
    <row r="134" spans="1:13">
      <c r="A134" s="84" t="s">
        <v>537</v>
      </c>
      <c r="B134" s="78">
        <v>-4</v>
      </c>
      <c r="C134" s="78" t="s">
        <v>538</v>
      </c>
      <c r="D134" s="80">
        <f>IFERROR(VLOOKUP($A134,'Balancete 2015'!$A:$D,4,0), "0")</f>
        <v>18039.29</v>
      </c>
      <c r="E134" s="81"/>
      <c r="F134" s="81"/>
      <c r="G134" s="81"/>
      <c r="H134" s="80">
        <f>IFERROR(VLOOKUP($A134,'Balancete 2016'!$A:$D,4,0), "0")</f>
        <v>19346.46</v>
      </c>
      <c r="J134" s="57"/>
      <c r="K134" s="58"/>
      <c r="L134" s="58"/>
      <c r="M134" s="59"/>
    </row>
    <row r="135" spans="1:13">
      <c r="A135" s="84" t="s">
        <v>539</v>
      </c>
      <c r="B135" s="78">
        <v>-2</v>
      </c>
      <c r="C135" s="78" t="s">
        <v>540</v>
      </c>
      <c r="D135" s="80">
        <f>IFERROR(VLOOKUP($A135,'Balancete 2015'!$A:$D,4,0), "0")</f>
        <v>12026.19</v>
      </c>
      <c r="E135" s="81"/>
      <c r="F135" s="81"/>
      <c r="G135" s="81"/>
      <c r="H135" s="80">
        <f>IFERROR(VLOOKUP($A135,'Balancete 2016'!$A:$D,4,0), "0")</f>
        <v>13477.59</v>
      </c>
      <c r="J135" s="57"/>
      <c r="K135" s="58"/>
      <c r="L135" s="58"/>
      <c r="M135" s="59"/>
    </row>
    <row r="136" spans="1:13">
      <c r="A136" s="84" t="s">
        <v>541</v>
      </c>
      <c r="B136" s="78">
        <v>0</v>
      </c>
      <c r="C136" s="78" t="s">
        <v>542</v>
      </c>
      <c r="D136" s="80">
        <f>IFERROR(VLOOKUP($A136,'Balancete 2015'!$A:$D,4,0), "0")</f>
        <v>30065.48</v>
      </c>
      <c r="E136" s="81"/>
      <c r="F136" s="81"/>
      <c r="G136" s="81"/>
      <c r="H136" s="80">
        <f>IFERROR(VLOOKUP($A136,'Balancete 2016'!$A:$D,4,0), "0")</f>
        <v>33562.46</v>
      </c>
      <c r="J136" s="57"/>
      <c r="K136" s="58"/>
      <c r="L136" s="58"/>
      <c r="M136" s="59"/>
    </row>
    <row r="137" spans="1:13">
      <c r="A137" s="84" t="s">
        <v>174</v>
      </c>
      <c r="B137" s="78">
        <v>-9</v>
      </c>
      <c r="C137" s="78" t="s">
        <v>543</v>
      </c>
      <c r="D137" s="80">
        <f>IFERROR(VLOOKUP($A137,'Balancete 2015'!$A:$D,4,0), "0")</f>
        <v>381563.02</v>
      </c>
      <c r="E137" s="81"/>
      <c r="F137" s="81"/>
      <c r="G137" s="81"/>
      <c r="H137" s="80">
        <f>IFERROR(VLOOKUP($A137,'Balancete 2016'!$A:$D,4,0), "0")</f>
        <v>387264.32</v>
      </c>
      <c r="J137" s="57"/>
      <c r="K137" s="58"/>
      <c r="L137" s="58"/>
      <c r="M137" s="59"/>
    </row>
    <row r="138" spans="1:13">
      <c r="A138" s="84" t="s">
        <v>175</v>
      </c>
      <c r="B138" s="78">
        <v>-7</v>
      </c>
      <c r="C138" s="78" t="s">
        <v>544</v>
      </c>
      <c r="D138" s="80">
        <f>IFERROR(VLOOKUP($A138,'Balancete 2015'!$A:$D,4,0), "0")</f>
        <v>122733.11</v>
      </c>
      <c r="E138" s="81"/>
      <c r="F138" s="81"/>
      <c r="G138" s="81"/>
      <c r="H138" s="80">
        <f>IFERROR(VLOOKUP($A138,'Balancete 2016'!$A:$D,4,0), "0")</f>
        <v>126605.87</v>
      </c>
      <c r="J138" s="57"/>
      <c r="K138" s="58"/>
      <c r="L138" s="58"/>
      <c r="M138" s="59"/>
    </row>
    <row r="139" spans="1:13">
      <c r="A139" s="84" t="s">
        <v>176</v>
      </c>
      <c r="B139" s="78">
        <v>-5</v>
      </c>
      <c r="C139" s="78" t="s">
        <v>545</v>
      </c>
      <c r="D139" s="80">
        <f>IFERROR(VLOOKUP($A139,'Balancete 2015'!$A:$D,4,0), "0")</f>
        <v>40239.93</v>
      </c>
      <c r="E139" s="81"/>
      <c r="F139" s="81"/>
      <c r="G139" s="81"/>
      <c r="H139" s="80">
        <f>IFERROR(VLOOKUP($A139,'Balancete 2016'!$A:$D,4,0), "0")</f>
        <v>42507.75</v>
      </c>
      <c r="J139" s="57"/>
      <c r="K139" s="58"/>
      <c r="L139" s="58"/>
      <c r="M139" s="59"/>
    </row>
    <row r="140" spans="1:13">
      <c r="A140" s="84" t="s">
        <v>546</v>
      </c>
      <c r="B140" s="78">
        <v>-7</v>
      </c>
      <c r="C140" s="78" t="s">
        <v>547</v>
      </c>
      <c r="D140" s="80">
        <f>IFERROR(VLOOKUP($A140,'Balancete 2015'!$A:$D,4,0), "0")</f>
        <v>5401650.9000000004</v>
      </c>
      <c r="E140" s="81"/>
      <c r="F140" s="81"/>
      <c r="G140" s="81"/>
      <c r="H140" s="80">
        <f>IFERROR(VLOOKUP($A140,'Balancete 2016'!$A:$D,4,0), "0")</f>
        <v>7880643.2300000004</v>
      </c>
      <c r="J140" s="66"/>
      <c r="K140" s="58"/>
      <c r="L140" s="58"/>
      <c r="M140" s="59"/>
    </row>
    <row r="141" spans="1:13">
      <c r="A141" s="84" t="s">
        <v>548</v>
      </c>
      <c r="B141" s="78">
        <v>-2</v>
      </c>
      <c r="C141" s="78" t="s">
        <v>547</v>
      </c>
      <c r="D141" s="80">
        <f>IFERROR(VLOOKUP($A141,'Balancete 2015'!$A:$D,4,0), "0")</f>
        <v>5401650.9000000004</v>
      </c>
      <c r="E141" s="81"/>
      <c r="F141" s="81"/>
      <c r="G141" s="81"/>
      <c r="H141" s="80" t="str">
        <f>IFERROR(VLOOKUP($A141,'Balancete 2016'!$A:$D,4,0), "0")</f>
        <v>0</v>
      </c>
      <c r="J141" s="66"/>
      <c r="K141" s="58"/>
      <c r="L141" s="58"/>
      <c r="M141" s="59"/>
    </row>
    <row r="142" spans="1:13">
      <c r="A142" s="84" t="s">
        <v>549</v>
      </c>
      <c r="B142" s="78">
        <v>-7</v>
      </c>
      <c r="C142" s="78" t="s">
        <v>550</v>
      </c>
      <c r="D142" s="80">
        <f>IFERROR(VLOOKUP($A142,'Balancete 2015'!$A:$D,4,0), "0")</f>
        <v>5401650.9000000004</v>
      </c>
      <c r="E142" s="81"/>
      <c r="F142" s="81"/>
      <c r="G142" s="81"/>
      <c r="H142" s="80" t="str">
        <f>IFERROR(VLOOKUP($A142,'Balancete 2016'!$A:$D,4,0), "0")</f>
        <v>0</v>
      </c>
      <c r="J142" s="66"/>
      <c r="K142" s="58"/>
      <c r="L142" s="58"/>
      <c r="M142" s="59"/>
    </row>
    <row r="143" spans="1:13">
      <c r="A143" s="77" t="s">
        <v>1113</v>
      </c>
      <c r="B143" s="78">
        <v>-9</v>
      </c>
      <c r="C143" s="103" t="s">
        <v>1081</v>
      </c>
      <c r="D143" s="80"/>
      <c r="E143" s="81"/>
      <c r="F143" s="81"/>
      <c r="G143" s="81"/>
      <c r="H143" s="80" t="str">
        <f>IFERROR(VLOOKUP($A143,'Balancete 2016'!$A:$D,4,0), "0")</f>
        <v>0</v>
      </c>
      <c r="J143" s="66"/>
      <c r="K143" s="58"/>
      <c r="L143" s="58"/>
      <c r="M143" s="59"/>
    </row>
    <row r="144" spans="1:13">
      <c r="A144" s="77" t="s">
        <v>1082</v>
      </c>
      <c r="B144" s="78">
        <v>-7</v>
      </c>
      <c r="C144" s="103" t="s">
        <v>1083</v>
      </c>
      <c r="D144" s="80"/>
      <c r="E144" s="81"/>
      <c r="F144" s="81"/>
      <c r="G144" s="81"/>
      <c r="H144" s="80">
        <f>IFERROR(VLOOKUP($A144,'Balancete 2016'!$A:$D,4,0), "0")</f>
        <v>7085620.2800000003</v>
      </c>
      <c r="J144" s="66"/>
      <c r="K144" s="58"/>
      <c r="L144" s="58"/>
      <c r="M144" s="59"/>
    </row>
    <row r="145" spans="1:13">
      <c r="A145" s="77" t="s">
        <v>1084</v>
      </c>
      <c r="B145" s="78">
        <v>-5</v>
      </c>
      <c r="C145" s="103" t="s">
        <v>1085</v>
      </c>
      <c r="D145" s="80"/>
      <c r="E145" s="81"/>
      <c r="F145" s="81"/>
      <c r="G145" s="81"/>
      <c r="H145" s="80">
        <f>IFERROR(VLOOKUP($A145,'Balancete 2016'!$A:$D,4,0), "0")</f>
        <v>795022.95</v>
      </c>
      <c r="J145" s="66"/>
      <c r="K145" s="58"/>
      <c r="L145" s="58"/>
      <c r="M145" s="59"/>
    </row>
    <row r="146" spans="1:13">
      <c r="A146" s="84" t="s">
        <v>177</v>
      </c>
      <c r="B146" s="78">
        <v>-7</v>
      </c>
      <c r="C146" s="78" t="s">
        <v>178</v>
      </c>
      <c r="D146" s="80">
        <f>IFERROR(VLOOKUP($A146,'Balancete 2015'!$A:$D,4,0), "0")</f>
        <v>414453820.41000003</v>
      </c>
      <c r="E146" s="81"/>
      <c r="F146" s="81"/>
      <c r="G146" s="81"/>
      <c r="H146" s="80">
        <f>IFERROR(VLOOKUP($A146,'Balancete 2016'!$A:$D,4,0), "0")</f>
        <v>2522319.96</v>
      </c>
      <c r="J146" s="57"/>
      <c r="K146" s="58"/>
      <c r="L146" s="58"/>
      <c r="M146" s="59"/>
    </row>
    <row r="147" spans="1:13">
      <c r="A147" s="84" t="s">
        <v>179</v>
      </c>
      <c r="B147" s="78">
        <v>0</v>
      </c>
      <c r="C147" s="78" t="s">
        <v>551</v>
      </c>
      <c r="D147" s="80">
        <f>IFERROR(VLOOKUP($A147,'Balancete 2015'!$A:$D,4,0), "0")</f>
        <v>414453820.41000003</v>
      </c>
      <c r="E147" s="81"/>
      <c r="F147" s="81"/>
      <c r="G147" s="81"/>
      <c r="H147" s="80">
        <f>IFERROR(VLOOKUP($A147,'Balancete 2016'!$A:$D,4,0), "0")</f>
        <v>2522319.96</v>
      </c>
      <c r="J147" s="57"/>
      <c r="K147" s="58"/>
      <c r="L147" s="58"/>
      <c r="M147" s="59"/>
    </row>
    <row r="148" spans="1:13">
      <c r="A148" s="84" t="s">
        <v>180</v>
      </c>
      <c r="B148" s="78">
        <v>-9</v>
      </c>
      <c r="C148" s="78" t="s">
        <v>552</v>
      </c>
      <c r="D148" s="80">
        <f>IFERROR(VLOOKUP($A148,'Balancete 2015'!$A:$D,4,0), "0")</f>
        <v>158144.85</v>
      </c>
      <c r="E148" s="81"/>
      <c r="F148" s="81"/>
      <c r="G148" s="81"/>
      <c r="H148" s="80">
        <f>IFERROR(VLOOKUP($A148,'Balancete 2016'!$A:$D,4,0), "0")</f>
        <v>621187.51</v>
      </c>
      <c r="J148" s="57"/>
      <c r="K148" s="58"/>
      <c r="L148" s="58"/>
      <c r="M148" s="59"/>
    </row>
    <row r="149" spans="1:13">
      <c r="A149" s="84" t="s">
        <v>181</v>
      </c>
      <c r="B149" s="78">
        <v>-7</v>
      </c>
      <c r="C149" s="78" t="s">
        <v>553</v>
      </c>
      <c r="D149" s="80">
        <f>IFERROR(VLOOKUP($A149,'Balancete 2015'!$A:$D,4,0), "0")</f>
        <v>603309.75</v>
      </c>
      <c r="E149" s="81"/>
      <c r="F149" s="81"/>
      <c r="G149" s="81"/>
      <c r="H149" s="80">
        <f>IFERROR(VLOOKUP($A149,'Balancete 2016'!$A:$D,4,0), "0")</f>
        <v>145021.51999999999</v>
      </c>
      <c r="J149" s="57"/>
      <c r="K149" s="58"/>
      <c r="L149" s="58"/>
      <c r="M149" s="59"/>
    </row>
    <row r="150" spans="1:13">
      <c r="A150" s="84" t="s">
        <v>182</v>
      </c>
      <c r="B150" s="78">
        <v>-5</v>
      </c>
      <c r="C150" s="78" t="s">
        <v>554</v>
      </c>
      <c r="D150" s="80">
        <f>IFERROR(VLOOKUP($A150,'Balancete 2015'!$A:$D,4,0), "0")</f>
        <v>257232.21</v>
      </c>
      <c r="E150" s="81"/>
      <c r="F150" s="81"/>
      <c r="G150" s="81"/>
      <c r="H150" s="80">
        <f>IFERROR(VLOOKUP($A150,'Balancete 2016'!$A:$D,4,0), "0")</f>
        <v>60825.33</v>
      </c>
      <c r="J150" s="57"/>
      <c r="K150" s="58"/>
      <c r="L150" s="58"/>
      <c r="M150" s="59"/>
    </row>
    <row r="151" spans="1:13">
      <c r="A151" s="103" t="s">
        <v>1087</v>
      </c>
      <c r="B151" s="103">
        <v>-3</v>
      </c>
      <c r="C151" s="103" t="s">
        <v>1088</v>
      </c>
      <c r="D151" s="80"/>
      <c r="E151" s="81"/>
      <c r="F151" s="81"/>
      <c r="G151" s="81"/>
      <c r="H151" s="80" t="str">
        <f>IFERROR(VLOOKUP($A151,'Balancete 2016'!$A:$D,4,0), "0")</f>
        <v>0</v>
      </c>
      <c r="J151" s="57"/>
      <c r="K151" s="58"/>
      <c r="L151" s="58"/>
      <c r="M151" s="59"/>
    </row>
    <row r="152" spans="1:13">
      <c r="A152" s="84" t="s">
        <v>183</v>
      </c>
      <c r="B152" s="78">
        <v>-1</v>
      </c>
      <c r="C152" s="78" t="s">
        <v>555</v>
      </c>
      <c r="D152" s="80">
        <f>IFERROR(VLOOKUP($A152,'Balancete 2015'!$A:$D,4,0), "0")</f>
        <v>3368739.93</v>
      </c>
      <c r="E152" s="81"/>
      <c r="F152" s="81"/>
      <c r="G152" s="81"/>
      <c r="H152" s="80">
        <f>IFERROR(VLOOKUP($A152,'Balancete 2016'!$A:$D,4,0), "0")</f>
        <v>1695285.6</v>
      </c>
      <c r="J152" s="57"/>
      <c r="K152" s="58"/>
      <c r="L152" s="58"/>
      <c r="M152" s="59"/>
    </row>
    <row r="153" spans="1:13">
      <c r="A153" s="84" t="s">
        <v>779</v>
      </c>
      <c r="B153" s="78"/>
      <c r="C153" s="132" t="s">
        <v>780</v>
      </c>
      <c r="D153" s="80">
        <f>IFERROR(VLOOKUP($A153,'Balancete 2015'!$A:$D,4,0), "0")</f>
        <v>374491746.10000002</v>
      </c>
      <c r="E153" s="81"/>
      <c r="F153" s="81"/>
      <c r="G153" s="81"/>
      <c r="H153" s="80" t="str">
        <f>IFERROR(VLOOKUP($A153,'Balancete 2016'!$A:$D,4,0), "0")</f>
        <v>0</v>
      </c>
      <c r="J153" s="57"/>
      <c r="K153" s="58"/>
      <c r="L153" s="58"/>
      <c r="M153" s="63"/>
    </row>
    <row r="154" spans="1:13">
      <c r="A154" s="84" t="s">
        <v>781</v>
      </c>
      <c r="B154" s="78"/>
      <c r="C154" s="132" t="s">
        <v>782</v>
      </c>
      <c r="D154" s="80">
        <f>IFERROR(VLOOKUP($A154,'Balancete 2015'!$A:$D,4,0), "0")</f>
        <v>35574647.57</v>
      </c>
      <c r="E154" s="81"/>
      <c r="F154" s="81"/>
      <c r="G154" s="81"/>
      <c r="H154" s="80" t="str">
        <f>IFERROR(VLOOKUP($A154,'Balancete 2016'!$A:$D,4,0), "0")</f>
        <v>0</v>
      </c>
      <c r="J154" s="57"/>
      <c r="K154" s="58"/>
      <c r="L154" s="58"/>
      <c r="M154" s="63"/>
    </row>
    <row r="155" spans="1:13">
      <c r="A155" s="84">
        <v>6</v>
      </c>
      <c r="B155" s="78">
        <v>-9</v>
      </c>
      <c r="C155" s="78" t="s">
        <v>184</v>
      </c>
      <c r="D155" s="80">
        <f>IFERROR(VLOOKUP($A155,'Balancete 2015'!$A:$D,4,0), "0")</f>
        <v>1201232664.8199999</v>
      </c>
      <c r="E155" s="81"/>
      <c r="F155" s="81"/>
      <c r="G155" s="81"/>
      <c r="H155" s="80">
        <f>IFERROR(VLOOKUP($A155,'Balancete 2016'!$A:$D,4,0), "0")</f>
        <v>3483988453.98</v>
      </c>
      <c r="J155" s="57"/>
      <c r="K155" s="58"/>
      <c r="L155" s="58"/>
      <c r="M155" s="59"/>
    </row>
    <row r="156" spans="1:13">
      <c r="A156" s="84" t="s">
        <v>185</v>
      </c>
      <c r="B156" s="78">
        <v>-6</v>
      </c>
      <c r="C156" s="78" t="s">
        <v>184</v>
      </c>
      <c r="D156" s="80">
        <f>IFERROR(VLOOKUP($A156,'Balancete 2015'!$A:$D,4,0), "0")</f>
        <v>1201232664.8199999</v>
      </c>
      <c r="E156" s="81"/>
      <c r="F156" s="81"/>
      <c r="G156" s="81"/>
      <c r="H156" s="80">
        <f>IFERROR(VLOOKUP($A156,'Balancete 2016'!$A:$D,4,0), "0")</f>
        <v>3483988453.98</v>
      </c>
      <c r="J156" s="57"/>
      <c r="K156" s="58"/>
      <c r="L156" s="58"/>
      <c r="M156" s="59"/>
    </row>
    <row r="157" spans="1:13">
      <c r="A157" s="84" t="s">
        <v>186</v>
      </c>
      <c r="B157" s="78">
        <v>-4</v>
      </c>
      <c r="C157" s="78" t="s">
        <v>187</v>
      </c>
      <c r="D157" s="80">
        <f>IFERROR(VLOOKUP($A157,'Balancete 2015'!$A:$D,4,0), "0")</f>
        <v>2415610459.4299998</v>
      </c>
      <c r="E157" s="81">
        <v>930</v>
      </c>
      <c r="F157" s="81"/>
      <c r="G157" s="81"/>
      <c r="H157" s="80">
        <f>IFERROR(VLOOKUP($A157,'Balancete 2016'!$A:$D,4,0), "0")</f>
        <v>2903635696.5700002</v>
      </c>
      <c r="J157" s="57"/>
      <c r="K157" s="58"/>
      <c r="L157" s="58"/>
      <c r="M157" s="59"/>
    </row>
    <row r="158" spans="1:13">
      <c r="A158" s="84" t="s">
        <v>327</v>
      </c>
      <c r="B158" s="78">
        <v>-8</v>
      </c>
      <c r="C158" s="78" t="s">
        <v>188</v>
      </c>
      <c r="D158" s="80">
        <f>IFERROR(VLOOKUP($A158,'Balancete 2015'!$A:$D,4,0), "0")</f>
        <v>4000000000</v>
      </c>
      <c r="E158" s="81">
        <v>940</v>
      </c>
      <c r="F158" s="81"/>
      <c r="G158" s="81"/>
      <c r="H158" s="80">
        <f>IFERROR(VLOOKUP($A158,'Balancete 2016'!$A:$D,4,0), "0")</f>
        <v>4000000000</v>
      </c>
      <c r="J158" s="57"/>
      <c r="K158" s="58"/>
      <c r="L158" s="58"/>
      <c r="M158" s="59"/>
    </row>
    <row r="159" spans="1:13">
      <c r="A159" s="84" t="s">
        <v>189</v>
      </c>
      <c r="B159" s="78">
        <v>-3</v>
      </c>
      <c r="C159" s="78" t="s">
        <v>190</v>
      </c>
      <c r="D159" s="80">
        <f>IFERROR(VLOOKUP($A159,'Balancete 2015'!$A:$D,4,0), "0")</f>
        <v>4000000000</v>
      </c>
      <c r="E159" s="81"/>
      <c r="F159" s="81"/>
      <c r="G159" s="81"/>
      <c r="H159" s="80">
        <f>IFERROR(VLOOKUP($A159,'Balancete 2016'!$A:$D,4,0), "0")</f>
        <v>4000000000</v>
      </c>
      <c r="J159" s="57"/>
      <c r="K159" s="58"/>
      <c r="L159" s="58"/>
      <c r="M159" s="59"/>
    </row>
    <row r="160" spans="1:13">
      <c r="A160" s="84" t="s">
        <v>191</v>
      </c>
      <c r="B160" s="78">
        <v>-3</v>
      </c>
      <c r="C160" s="78" t="s">
        <v>592</v>
      </c>
      <c r="D160" s="80">
        <f>IFERROR(VLOOKUP($A160,'Balancete 2015'!$A:$D,4,0), "0")</f>
        <v>4000000000</v>
      </c>
      <c r="E160" s="81"/>
      <c r="F160" s="81"/>
      <c r="G160" s="81"/>
      <c r="H160" s="80">
        <f>IFERROR(VLOOKUP($A160,'Balancete 2016'!$A:$D,4,0), "0")</f>
        <v>4000000000</v>
      </c>
      <c r="J160" s="57"/>
      <c r="K160" s="58"/>
      <c r="L160" s="58"/>
      <c r="M160" s="59"/>
    </row>
    <row r="161" spans="1:13">
      <c r="A161" s="84" t="s">
        <v>328</v>
      </c>
      <c r="B161" s="78">
        <v>-2</v>
      </c>
      <c r="C161" s="78" t="s">
        <v>192</v>
      </c>
      <c r="D161" s="80">
        <f>IFERROR(VLOOKUP($A161,'Balancete 2015'!$A:$D,4,0), "0")</f>
        <v>-2798767335.1799998</v>
      </c>
      <c r="E161" s="81">
        <v>950</v>
      </c>
      <c r="F161" s="81"/>
      <c r="G161" s="81"/>
      <c r="H161" s="80">
        <f>IFERROR(VLOOKUP($A161,'Balancete 2016'!$A:$D,4,0), "0")</f>
        <v>-1096364303.4300001</v>
      </c>
      <c r="J161" s="62"/>
      <c r="K161" s="58"/>
      <c r="L161" s="58"/>
      <c r="M161" s="59"/>
    </row>
    <row r="162" spans="1:13">
      <c r="A162" s="84" t="s">
        <v>193</v>
      </c>
      <c r="B162" s="78">
        <v>-8</v>
      </c>
      <c r="C162" s="78" t="s">
        <v>194</v>
      </c>
      <c r="D162" s="80">
        <f>IFERROR(VLOOKUP($A162,'Balancete 2015'!$A:$D,4,0), "0")</f>
        <v>-2798767335.1799998</v>
      </c>
      <c r="E162" s="81"/>
      <c r="F162" s="81"/>
      <c r="G162" s="81"/>
      <c r="H162" s="80">
        <f>IFERROR(VLOOKUP($A162,'Balancete 2016'!$A:$D,4,0), "0")</f>
        <v>-1096364303.4300001</v>
      </c>
      <c r="J162" s="62"/>
      <c r="K162" s="58"/>
      <c r="L162" s="58"/>
      <c r="M162" s="59"/>
    </row>
    <row r="163" spans="1:13">
      <c r="A163" s="84" t="s">
        <v>195</v>
      </c>
      <c r="B163" s="78">
        <v>-2</v>
      </c>
      <c r="C163" s="78" t="s">
        <v>556</v>
      </c>
      <c r="D163" s="80">
        <f>IFERROR(VLOOKUP($A163,'Balancete 2015'!$A:$D,4,0), "0")</f>
        <v>-2798767335.1799998</v>
      </c>
      <c r="E163" s="81"/>
      <c r="F163" s="81"/>
      <c r="G163" s="81"/>
      <c r="H163" s="80">
        <f>IFERROR(VLOOKUP($A163,'Balancete 2016'!$A:$D,4,0), "0")</f>
        <v>-1096364303.4300001</v>
      </c>
      <c r="J163" s="66"/>
      <c r="K163" s="58"/>
      <c r="L163" s="58"/>
      <c r="M163" s="59"/>
    </row>
    <row r="164" spans="1:13">
      <c r="A164" s="84" t="s">
        <v>291</v>
      </c>
      <c r="B164" s="78">
        <v>0</v>
      </c>
      <c r="C164" s="78" t="s">
        <v>292</v>
      </c>
      <c r="D164" s="80" t="str">
        <f>IFERROR(VLOOKUP($A164,'Balancete 2015'!$A:$D,4,0), "0")</f>
        <v>0</v>
      </c>
      <c r="E164" s="81">
        <v>960</v>
      </c>
      <c r="F164" s="81"/>
      <c r="G164" s="81"/>
      <c r="H164" s="80" t="str">
        <f>IFERROR(VLOOKUP($A164,'Balancete 2016'!$A:$D,4,0), "0")</f>
        <v>0</v>
      </c>
      <c r="J164" s="57"/>
      <c r="K164" s="58"/>
      <c r="L164" s="58"/>
      <c r="M164" s="59"/>
    </row>
    <row r="165" spans="1:13">
      <c r="A165" s="84" t="s">
        <v>293</v>
      </c>
      <c r="B165" s="78">
        <v>-4</v>
      </c>
      <c r="C165" s="78" t="s">
        <v>294</v>
      </c>
      <c r="D165" s="80" t="str">
        <f>IFERROR(VLOOKUP($A165,'Balancete 2015'!$A:$D,4,0), "0")</f>
        <v>0</v>
      </c>
      <c r="E165" s="81"/>
      <c r="F165" s="81"/>
      <c r="G165" s="81"/>
      <c r="H165" s="80" t="str">
        <f>IFERROR(VLOOKUP($A165,'Balancete 2016'!$A:$D,4,0), "0")</f>
        <v>0</v>
      </c>
      <c r="J165" s="57"/>
      <c r="K165" s="58"/>
      <c r="L165" s="58"/>
      <c r="M165" s="59"/>
    </row>
    <row r="166" spans="1:13">
      <c r="A166" s="84" t="s">
        <v>295</v>
      </c>
      <c r="B166" s="78">
        <v>-5</v>
      </c>
      <c r="C166" s="78" t="s">
        <v>294</v>
      </c>
      <c r="D166" s="80" t="str">
        <f>IFERROR(VLOOKUP($A166,'Balancete 2015'!$A:$D,4,0), "0")</f>
        <v>0</v>
      </c>
      <c r="E166" s="81"/>
      <c r="F166" s="81"/>
      <c r="G166" s="81"/>
      <c r="H166" s="80" t="str">
        <f>IFERROR(VLOOKUP($A166,'Balancete 2016'!$A:$D,4,0), "0")</f>
        <v>0</v>
      </c>
      <c r="J166" s="57"/>
      <c r="K166" s="58"/>
      <c r="L166" s="58"/>
      <c r="M166" s="59"/>
    </row>
    <row r="167" spans="1:13">
      <c r="A167" s="84" t="s">
        <v>296</v>
      </c>
      <c r="B167" s="78">
        <v>-8</v>
      </c>
      <c r="C167" s="78" t="s">
        <v>557</v>
      </c>
      <c r="D167" s="80" t="str">
        <f>IFERROR(VLOOKUP($A167,'Balancete 2015'!$A:$D,4,0), "0")</f>
        <v>0</v>
      </c>
      <c r="E167" s="81"/>
      <c r="F167" s="81"/>
      <c r="G167" s="81"/>
      <c r="H167" s="80" t="str">
        <f>IFERROR(VLOOKUP($A167,'Balancete 2016'!$A:$D,4,0), "0")</f>
        <v>0</v>
      </c>
      <c r="J167" s="57"/>
      <c r="K167" s="58"/>
      <c r="L167" s="58"/>
      <c r="M167" s="59"/>
    </row>
    <row r="168" spans="1:13">
      <c r="A168" s="84" t="s">
        <v>330</v>
      </c>
      <c r="B168" s="78">
        <v>-7</v>
      </c>
      <c r="C168" s="78" t="s">
        <v>196</v>
      </c>
      <c r="D168" s="80">
        <f>IFERROR(VLOOKUP($A168,'Balancete 2015'!$A:$D,4,0), "0")</f>
        <v>196977842.34</v>
      </c>
      <c r="E168" s="81">
        <v>970</v>
      </c>
      <c r="F168" s="81"/>
      <c r="G168" s="81"/>
      <c r="H168" s="80">
        <f>IFERROR(VLOOKUP($A168,'Balancete 2016'!$A:$D,4,0), "0")</f>
        <v>108096367.13</v>
      </c>
      <c r="J168" s="57"/>
      <c r="K168" s="58"/>
      <c r="L168" s="58"/>
      <c r="M168" s="59"/>
    </row>
    <row r="169" spans="1:13">
      <c r="A169" s="84" t="s">
        <v>197</v>
      </c>
      <c r="B169" s="78">
        <v>0</v>
      </c>
      <c r="C169" s="78" t="s">
        <v>198</v>
      </c>
      <c r="D169" s="80">
        <f>IFERROR(VLOOKUP($A169,'Balancete 2015'!$A:$D,4,0), "0")</f>
        <v>147600845.81999999</v>
      </c>
      <c r="E169" s="81"/>
      <c r="F169" s="81"/>
      <c r="G169" s="81"/>
      <c r="H169" s="80">
        <f>IFERROR(VLOOKUP($A169,'Balancete 2016'!$A:$D,4,0), "0")</f>
        <v>108096367.13</v>
      </c>
      <c r="J169" s="57"/>
      <c r="K169" s="58"/>
      <c r="L169" s="58"/>
      <c r="M169" s="59"/>
    </row>
    <row r="170" spans="1:13">
      <c r="A170" s="84" t="s">
        <v>199</v>
      </c>
      <c r="B170" s="78">
        <v>-1</v>
      </c>
      <c r="C170" s="78" t="s">
        <v>558</v>
      </c>
      <c r="D170" s="80">
        <f>IFERROR(VLOOKUP($A170,'Balancete 2015'!$A:$D,4,0), "0")</f>
        <v>147600845.81999999</v>
      </c>
      <c r="E170" s="81"/>
      <c r="F170" s="81"/>
      <c r="G170" s="81"/>
      <c r="H170" s="80">
        <f>IFERROR(VLOOKUP($A170,'Balancete 2016'!$A:$D,4,0), "0")</f>
        <v>108096367.13</v>
      </c>
      <c r="J170" s="57"/>
      <c r="K170" s="58"/>
      <c r="L170" s="58"/>
      <c r="M170" s="59"/>
    </row>
    <row r="171" spans="1:13">
      <c r="A171" s="84" t="s">
        <v>200</v>
      </c>
      <c r="B171" s="78">
        <v>0</v>
      </c>
      <c r="C171" s="78" t="s">
        <v>558</v>
      </c>
      <c r="D171" s="80">
        <f>IFERROR(VLOOKUP($A171,'Balancete 2015'!$A:$D,4,0), "0")</f>
        <v>147600845.81999999</v>
      </c>
      <c r="E171" s="81"/>
      <c r="F171" s="81"/>
      <c r="G171" s="81"/>
      <c r="H171" s="80">
        <f>IFERROR(VLOOKUP($A171,'Balancete 2016'!$A:$D,4,0), "0")</f>
        <v>108096367.13</v>
      </c>
      <c r="J171" s="57"/>
      <c r="K171" s="58"/>
      <c r="L171" s="58"/>
      <c r="M171" s="59"/>
    </row>
    <row r="172" spans="1:13">
      <c r="A172" s="84" t="s">
        <v>201</v>
      </c>
      <c r="B172" s="78">
        <v>-4</v>
      </c>
      <c r="C172" s="78" t="s">
        <v>202</v>
      </c>
      <c r="D172" s="80">
        <f>IFERROR(VLOOKUP($A172,'Balancete 2015'!$A:$D,4,0), "0")</f>
        <v>1263754791.1399999</v>
      </c>
      <c r="E172" s="81"/>
      <c r="F172" s="81"/>
      <c r="G172" s="81"/>
      <c r="H172" s="80" t="str">
        <f>IFERROR(VLOOKUP($A172,'Balancete 2016'!$A:$D,4,0), "0")</f>
        <v>0</v>
      </c>
      <c r="J172" s="57"/>
      <c r="K172" s="58"/>
      <c r="L172" s="58"/>
      <c r="M172" s="59"/>
    </row>
    <row r="173" spans="1:13">
      <c r="A173" s="84" t="s">
        <v>203</v>
      </c>
      <c r="B173" s="78">
        <v>0</v>
      </c>
      <c r="C173" s="78" t="s">
        <v>202</v>
      </c>
      <c r="D173" s="80">
        <f>IFERROR(VLOOKUP($A173,'Balancete 2015'!$A:$D,4,0), "0")</f>
        <v>1263754791.1399999</v>
      </c>
      <c r="E173" s="81"/>
      <c r="F173" s="81"/>
      <c r="G173" s="81"/>
      <c r="H173" s="80" t="str">
        <f>IFERROR(VLOOKUP($A173,'Balancete 2016'!$A:$D,4,0), "0")</f>
        <v>0</v>
      </c>
      <c r="J173" s="57"/>
      <c r="K173" s="58"/>
      <c r="L173" s="58"/>
      <c r="M173" s="59"/>
    </row>
    <row r="174" spans="1:13">
      <c r="A174" s="84" t="s">
        <v>204</v>
      </c>
      <c r="B174" s="78">
        <v>-4</v>
      </c>
      <c r="C174" s="78" t="s">
        <v>559</v>
      </c>
      <c r="D174" s="80">
        <f>IFERROR(VLOOKUP($A174,'Balancete 2015'!$A:$D,4,0), "0")</f>
        <v>1263754791.1399999</v>
      </c>
      <c r="E174" s="81"/>
      <c r="F174" s="81"/>
      <c r="G174" s="81"/>
      <c r="H174" s="80" t="str">
        <f>IFERROR(VLOOKUP($A174,'Balancete 2016'!$A:$D,4,0), "0")</f>
        <v>0</v>
      </c>
      <c r="J174" s="57"/>
      <c r="K174" s="58"/>
      <c r="L174" s="58"/>
      <c r="M174" s="59"/>
    </row>
    <row r="175" spans="1:13">
      <c r="A175" s="84" t="s">
        <v>329</v>
      </c>
      <c r="B175" s="78">
        <v>-5</v>
      </c>
      <c r="C175" s="78" t="s">
        <v>205</v>
      </c>
      <c r="D175" s="80">
        <f>IFERROR(VLOOKUP($A175,'Balancete 2015'!$A:$D,4,0), "0")</f>
        <v>318888902.85000002</v>
      </c>
      <c r="E175" s="81">
        <v>980</v>
      </c>
      <c r="F175" s="81"/>
      <c r="G175" s="81"/>
      <c r="H175" s="80">
        <f>IFERROR(VLOOKUP($A175,'Balancete 2016'!$A:$D,4,0), "0")</f>
        <v>383374915.06999999</v>
      </c>
      <c r="I175" s="7"/>
      <c r="J175" s="57"/>
      <c r="K175" s="58"/>
      <c r="L175" s="58"/>
      <c r="M175" s="59"/>
    </row>
    <row r="176" spans="1:13">
      <c r="A176" s="84" t="s">
        <v>206</v>
      </c>
      <c r="B176" s="78">
        <v>-9</v>
      </c>
      <c r="C176" s="78" t="s">
        <v>207</v>
      </c>
      <c r="D176" s="80">
        <f>IFERROR(VLOOKUP($A176,'Balancete 2015'!$A:$D,4,0), "0")</f>
        <v>304538972.32999998</v>
      </c>
      <c r="E176" s="81"/>
      <c r="F176" s="81"/>
      <c r="G176" s="81"/>
      <c r="H176" s="80">
        <f>IFERROR(VLOOKUP($A176,'Balancete 2016'!$A:$D,4,0), "0")</f>
        <v>305225153</v>
      </c>
      <c r="J176" s="57"/>
      <c r="K176" s="58"/>
      <c r="L176" s="58"/>
      <c r="M176" s="59"/>
    </row>
    <row r="177" spans="1:13">
      <c r="A177" s="84" t="s">
        <v>208</v>
      </c>
      <c r="B177" s="78">
        <v>-4</v>
      </c>
      <c r="C177" s="78" t="s">
        <v>209</v>
      </c>
      <c r="D177" s="80">
        <f>IFERROR(VLOOKUP($A177,'Balancete 2015'!$A:$D,4,0), "0")</f>
        <v>393734360.75</v>
      </c>
      <c r="E177" s="81"/>
      <c r="F177" s="81"/>
      <c r="G177" s="81"/>
      <c r="H177" s="80">
        <f>IFERROR(VLOOKUP($A177,'Balancete 2016'!$A:$D,4,0), "0")</f>
        <v>392161098.97000003</v>
      </c>
      <c r="J177" s="57"/>
      <c r="K177" s="58"/>
      <c r="L177" s="58"/>
      <c r="M177" s="59"/>
    </row>
    <row r="178" spans="1:13">
      <c r="A178" s="84" t="s">
        <v>210</v>
      </c>
      <c r="B178" s="78">
        <v>-9</v>
      </c>
      <c r="C178" s="78" t="s">
        <v>560</v>
      </c>
      <c r="D178" s="80">
        <f>IFERROR(VLOOKUP($A178,'Balancete 2015'!$A:$D,4,0), "0")</f>
        <v>657374339.66999996</v>
      </c>
      <c r="E178" s="81"/>
      <c r="F178" s="81"/>
      <c r="G178" s="81"/>
      <c r="H178" s="80">
        <f>IFERROR(VLOOKUP($A178,'Balancete 2016'!$A:$D,4,0), "0")</f>
        <v>654747640</v>
      </c>
      <c r="J178" s="57"/>
      <c r="K178" s="58"/>
      <c r="L178" s="58"/>
      <c r="M178" s="59"/>
    </row>
    <row r="179" spans="1:13">
      <c r="A179" s="84" t="s">
        <v>211</v>
      </c>
      <c r="B179" s="78">
        <v>-7</v>
      </c>
      <c r="C179" s="78" t="s">
        <v>212</v>
      </c>
      <c r="D179" s="80">
        <f>IFERROR(VLOOKUP($A179,'Balancete 2015'!$A:$D,4,0), "0")</f>
        <v>-263639978.91999999</v>
      </c>
      <c r="E179" s="81"/>
      <c r="F179" s="81"/>
      <c r="G179" s="81"/>
      <c r="H179" s="80">
        <f>IFERROR(VLOOKUP($A179,'Balancete 2016'!$A:$D,4,0), "0")</f>
        <v>-262586541.03</v>
      </c>
      <c r="J179" s="57"/>
      <c r="K179" s="58"/>
      <c r="L179" s="58"/>
      <c r="M179" s="59"/>
    </row>
    <row r="180" spans="1:13">
      <c r="A180" s="84" t="s">
        <v>213</v>
      </c>
      <c r="B180" s="78">
        <v>0</v>
      </c>
      <c r="C180" s="78" t="s">
        <v>561</v>
      </c>
      <c r="D180" s="80">
        <f>IFERROR(VLOOKUP($A180,'Balancete 2015'!$A:$D,4,0), "0")</f>
        <v>-89195388.420000002</v>
      </c>
      <c r="E180" s="81"/>
      <c r="F180" s="81"/>
      <c r="G180" s="81"/>
      <c r="H180" s="80">
        <f>IFERROR(VLOOKUP($A180,'Balancete 2016'!$A:$D,4,0), "0")</f>
        <v>-86935945.969999999</v>
      </c>
      <c r="I180" s="7"/>
      <c r="J180" s="57"/>
      <c r="K180" s="58"/>
      <c r="L180" s="58"/>
      <c r="M180" s="59"/>
    </row>
    <row r="181" spans="1:13">
      <c r="A181" s="84" t="s">
        <v>214</v>
      </c>
      <c r="B181" s="78">
        <v>-1</v>
      </c>
      <c r="C181" s="78" t="s">
        <v>562</v>
      </c>
      <c r="D181" s="80">
        <f>IFERROR(VLOOKUP($A181,'Balancete 2015'!$A:$D,4,0), "0")</f>
        <v>-89195388.420000002</v>
      </c>
      <c r="E181" s="81"/>
      <c r="F181" s="81"/>
      <c r="G181" s="81"/>
      <c r="H181" s="80">
        <f>IFERROR(VLOOKUP($A181,'Balancete 2016'!$A:$D,4,0), "0")</f>
        <v>-86935945.969999999</v>
      </c>
      <c r="J181" s="57"/>
      <c r="K181" s="58"/>
      <c r="L181" s="58"/>
      <c r="M181" s="59"/>
    </row>
    <row r="182" spans="1:13">
      <c r="A182" s="84" t="s">
        <v>297</v>
      </c>
      <c r="B182" s="78">
        <v>-8</v>
      </c>
      <c r="C182" s="78" t="s">
        <v>298</v>
      </c>
      <c r="D182" s="80">
        <f>IFERROR(VLOOKUP($A182,'Balancete 2015'!$A:$D,4,0), "0")</f>
        <v>14349930.52</v>
      </c>
      <c r="E182" s="81"/>
      <c r="F182" s="81"/>
      <c r="G182" s="81"/>
      <c r="H182" s="80">
        <f>IFERROR(VLOOKUP($A182,'Balancete 2016'!$A:$D,4,0), "0")</f>
        <v>78149762.069999993</v>
      </c>
      <c r="I182" s="7"/>
      <c r="J182" s="57"/>
      <c r="K182" s="58"/>
      <c r="L182" s="58"/>
      <c r="M182" s="59"/>
    </row>
    <row r="183" spans="1:13">
      <c r="A183" s="84" t="s">
        <v>299</v>
      </c>
      <c r="B183" s="78">
        <v>-9</v>
      </c>
      <c r="C183" s="78" t="s">
        <v>298</v>
      </c>
      <c r="D183" s="80">
        <f>IFERROR(VLOOKUP($A183,'Balancete 2015'!$A:$D,4,0), "0")</f>
        <v>14182670.960000001</v>
      </c>
      <c r="E183" s="81"/>
      <c r="F183" s="81"/>
      <c r="G183" s="81"/>
      <c r="H183" s="80">
        <f>IFERROR(VLOOKUP($A183,'Balancete 2016'!$A:$D,4,0), "0")</f>
        <v>64255432.509999998</v>
      </c>
      <c r="J183" s="57"/>
      <c r="K183" s="58"/>
      <c r="L183" s="58"/>
      <c r="M183" s="59"/>
    </row>
    <row r="184" spans="1:13">
      <c r="A184" s="84" t="s">
        <v>300</v>
      </c>
      <c r="B184" s="78">
        <v>-7</v>
      </c>
      <c r="C184" s="78" t="s">
        <v>563</v>
      </c>
      <c r="D184" s="80">
        <f>IFERROR(VLOOKUP($A184,'Balancete 2015'!$A:$D,4,0), "0")</f>
        <v>14182670.960000001</v>
      </c>
      <c r="E184" s="81"/>
      <c r="F184" s="81"/>
      <c r="G184" s="81"/>
      <c r="H184" s="80">
        <f>IFERROR(VLOOKUP($A184,'Balancete 2016'!$A:$D,4,0), "0")</f>
        <v>64255432.509999998</v>
      </c>
      <c r="J184" s="64"/>
      <c r="K184" s="58"/>
      <c r="L184" s="58"/>
      <c r="M184" s="59"/>
    </row>
    <row r="185" spans="1:13">
      <c r="A185" s="103" t="s">
        <v>866</v>
      </c>
      <c r="B185" s="103">
        <v>-4</v>
      </c>
      <c r="C185" s="103" t="s">
        <v>867</v>
      </c>
      <c r="D185" s="80"/>
      <c r="E185" s="81"/>
      <c r="F185" s="81"/>
      <c r="G185" s="81"/>
      <c r="H185" s="80">
        <f>IFERROR(VLOOKUP($A185,'Balancete 2016'!$A:$D,4,0), "0")</f>
        <v>13894329.560000001</v>
      </c>
      <c r="J185" s="64"/>
      <c r="K185" s="58"/>
      <c r="L185" s="58"/>
      <c r="M185" s="59"/>
    </row>
    <row r="186" spans="1:13">
      <c r="A186" s="103" t="s">
        <v>868</v>
      </c>
      <c r="B186" s="103">
        <v>0</v>
      </c>
      <c r="C186" s="103" t="s">
        <v>869</v>
      </c>
      <c r="D186" s="80"/>
      <c r="E186" s="81"/>
      <c r="F186" s="81"/>
      <c r="G186" s="81"/>
      <c r="H186" s="80">
        <f>IFERROR(VLOOKUP($A186,'Balancete 2016'!$A:$D,4,0), "0")</f>
        <v>167259.56</v>
      </c>
      <c r="J186" s="64"/>
      <c r="K186" s="58"/>
      <c r="L186" s="58"/>
      <c r="M186" s="59"/>
    </row>
    <row r="187" spans="1:13">
      <c r="A187" s="103" t="s">
        <v>1091</v>
      </c>
      <c r="B187" s="103">
        <v>-9</v>
      </c>
      <c r="C187" s="103" t="s">
        <v>1092</v>
      </c>
      <c r="D187" s="80"/>
      <c r="E187" s="81"/>
      <c r="F187" s="81"/>
      <c r="G187" s="81"/>
      <c r="H187" s="80">
        <f>IFERROR(VLOOKUP($A187,'Balancete 2016'!$A:$D,4,0), "0")</f>
        <v>13727070</v>
      </c>
      <c r="J187" s="64"/>
      <c r="K187" s="58"/>
      <c r="L187" s="58"/>
      <c r="M187" s="59"/>
    </row>
    <row r="188" spans="1:13">
      <c r="A188" s="84" t="s">
        <v>680</v>
      </c>
      <c r="B188" s="78"/>
      <c r="C188" s="78" t="s">
        <v>681</v>
      </c>
      <c r="D188" s="80">
        <f>IFERROR(VLOOKUP($A188,'Balancete 2015'!$A:$D,4,0), "0")</f>
        <v>-77857963.370000005</v>
      </c>
      <c r="E188" s="81"/>
      <c r="F188" s="81"/>
      <c r="G188" s="81"/>
      <c r="H188" s="80">
        <f>IFERROR(VLOOKUP($A188,'Balancete 2016'!$A:$D,4,0), "0")</f>
        <v>88881475.209999993</v>
      </c>
      <c r="J188" s="66"/>
      <c r="K188" s="58"/>
      <c r="L188" s="58"/>
      <c r="M188" s="59"/>
    </row>
    <row r="189" spans="1:13">
      <c r="A189" s="84" t="s">
        <v>682</v>
      </c>
      <c r="B189" s="78"/>
      <c r="C189" s="78" t="s">
        <v>681</v>
      </c>
      <c r="D189" s="80">
        <f>IFERROR(VLOOKUP($A189,'Balancete 2015'!$A:$D,4,0), "0")</f>
        <v>-77857963.370000005</v>
      </c>
      <c r="E189" s="81"/>
      <c r="F189" s="81"/>
      <c r="G189" s="81"/>
      <c r="H189" s="80">
        <f>IFERROR(VLOOKUP($A189,'Balancete 2016'!$A:$D,4,0), "0")</f>
        <v>88881475.209999993</v>
      </c>
      <c r="J189" s="66"/>
      <c r="K189" s="58"/>
      <c r="L189" s="58"/>
      <c r="M189" s="59"/>
    </row>
    <row r="190" spans="1:13">
      <c r="A190" s="84" t="s">
        <v>783</v>
      </c>
      <c r="B190" s="78"/>
      <c r="C190" s="78" t="s">
        <v>787</v>
      </c>
      <c r="D190" s="80" t="str">
        <f>IFERROR(VLOOKUP($A190,'Balancete 2015'!$A:$D,4,0), "0")</f>
        <v>0</v>
      </c>
      <c r="E190" s="81"/>
      <c r="F190" s="81"/>
      <c r="G190" s="81"/>
      <c r="H190" s="80" t="str">
        <f>IFERROR(VLOOKUP($A190,'Balancete 2016'!$A:$D,4,0), "0")</f>
        <v>0</v>
      </c>
      <c r="J190" s="66"/>
      <c r="K190" s="58"/>
      <c r="L190" s="58"/>
      <c r="M190" s="59"/>
    </row>
    <row r="191" spans="1:13">
      <c r="A191" s="84" t="s">
        <v>784</v>
      </c>
      <c r="B191" s="78"/>
      <c r="C191" s="78" t="s">
        <v>788</v>
      </c>
      <c r="D191" s="80" t="str">
        <f>IFERROR(VLOOKUP($A191,'Balancete 2015'!$A:$D,4,0), "0")</f>
        <v>0</v>
      </c>
      <c r="E191" s="81"/>
      <c r="F191" s="81"/>
      <c r="G191" s="81"/>
      <c r="H191" s="80" t="str">
        <f>IFERROR(VLOOKUP($A191,'Balancete 2016'!$A:$D,4,0), "0")</f>
        <v>0</v>
      </c>
      <c r="J191" s="66"/>
      <c r="K191" s="58"/>
      <c r="L191" s="58"/>
      <c r="M191" s="59"/>
    </row>
    <row r="192" spans="1:13">
      <c r="A192" s="25"/>
      <c r="J192" s="64"/>
      <c r="K192" s="58"/>
      <c r="L192" s="58"/>
      <c r="M192" s="59"/>
    </row>
    <row r="193" spans="1:13">
      <c r="A193" s="25"/>
      <c r="J193" s="64"/>
      <c r="K193" s="58"/>
      <c r="L193" s="58"/>
      <c r="M193" s="59"/>
    </row>
    <row r="194" spans="1:13">
      <c r="A194" s="25"/>
      <c r="J194" s="57"/>
      <c r="K194" s="58"/>
      <c r="L194" s="58"/>
      <c r="M194" s="59"/>
    </row>
    <row r="195" spans="1:13">
      <c r="A195" s="25"/>
      <c r="J195" s="57"/>
      <c r="K195" s="58"/>
      <c r="L195" s="58"/>
      <c r="M195" s="59"/>
    </row>
    <row r="196" spans="1:13">
      <c r="A196" s="25"/>
      <c r="D196" s="70"/>
      <c r="H196" s="70"/>
      <c r="J196" s="57"/>
      <c r="K196" s="58"/>
      <c r="L196" s="58"/>
      <c r="M196" s="59"/>
    </row>
    <row r="197" spans="1:13">
      <c r="A197" s="25"/>
      <c r="J197" s="57"/>
      <c r="K197" s="58"/>
      <c r="L197" s="58"/>
      <c r="M197" s="59"/>
    </row>
    <row r="198" spans="1:13">
      <c r="A198" s="25"/>
      <c r="J198" s="57"/>
      <c r="K198" s="58"/>
      <c r="L198" s="58"/>
      <c r="M198" s="59"/>
    </row>
    <row r="199" spans="1:13">
      <c r="A199" s="25"/>
      <c r="J199" s="57"/>
      <c r="K199" s="58"/>
      <c r="L199" s="58"/>
      <c r="M199" s="59"/>
    </row>
    <row r="200" spans="1:13">
      <c r="A200" s="25"/>
      <c r="J200" s="57"/>
      <c r="K200" s="58"/>
      <c r="L200" s="58"/>
      <c r="M200" s="59"/>
    </row>
    <row r="201" spans="1:13">
      <c r="A201" s="25"/>
      <c r="J201" s="57"/>
      <c r="K201" s="58"/>
      <c r="L201" s="58"/>
      <c r="M201" s="59"/>
    </row>
    <row r="202" spans="1:13">
      <c r="A202" s="25"/>
      <c r="J202" s="57"/>
      <c r="K202" s="58"/>
      <c r="L202" s="58"/>
      <c r="M202" s="59"/>
    </row>
    <row r="203" spans="1:13">
      <c r="A203" s="25"/>
      <c r="J203" s="57"/>
      <c r="K203" s="58"/>
      <c r="L203" s="58"/>
      <c r="M203" s="59"/>
    </row>
    <row r="204" spans="1:13">
      <c r="A204" s="25"/>
      <c r="J204" s="57"/>
      <c r="K204" s="58"/>
      <c r="L204" s="58"/>
      <c r="M204" s="59"/>
    </row>
    <row r="205" spans="1:13">
      <c r="A205" s="25"/>
      <c r="J205" s="57"/>
      <c r="K205" s="58"/>
      <c r="L205" s="58"/>
      <c r="M205" s="59"/>
    </row>
    <row r="206" spans="1:13">
      <c r="A206" s="25"/>
      <c r="J206" s="57"/>
      <c r="K206" s="58"/>
      <c r="L206" s="58"/>
      <c r="M206" s="59"/>
    </row>
    <row r="207" spans="1:13">
      <c r="A207" s="25"/>
      <c r="J207" s="57"/>
      <c r="K207" s="58"/>
      <c r="L207" s="58"/>
      <c r="M207" s="59"/>
    </row>
    <row r="208" spans="1:13">
      <c r="A208" s="25"/>
      <c r="J208" s="57"/>
      <c r="K208" s="58"/>
      <c r="L208" s="58"/>
      <c r="M208" s="59"/>
    </row>
    <row r="209" spans="1:13">
      <c r="A209" s="25"/>
      <c r="J209" s="57"/>
      <c r="K209" s="58"/>
      <c r="L209" s="58"/>
      <c r="M209" s="59"/>
    </row>
    <row r="210" spans="1:13">
      <c r="A210" s="25"/>
      <c r="J210" s="57"/>
      <c r="K210" s="58"/>
      <c r="L210" s="58"/>
      <c r="M210" s="59"/>
    </row>
    <row r="211" spans="1:13">
      <c r="A211" s="25"/>
      <c r="J211" s="57"/>
      <c r="K211" s="58"/>
      <c r="L211" s="58"/>
      <c r="M211" s="59"/>
    </row>
    <row r="212" spans="1:13">
      <c r="A212" s="25"/>
      <c r="J212" s="57"/>
      <c r="K212" s="58"/>
      <c r="L212" s="58"/>
      <c r="M212" s="59"/>
    </row>
    <row r="213" spans="1:13">
      <c r="A213" s="25"/>
      <c r="J213" s="57"/>
      <c r="K213" s="58"/>
      <c r="L213" s="58"/>
      <c r="M213" s="59"/>
    </row>
    <row r="214" spans="1:13">
      <c r="A214" s="25"/>
      <c r="J214" s="57"/>
      <c r="K214" s="58"/>
      <c r="L214" s="58"/>
      <c r="M214" s="59"/>
    </row>
    <row r="215" spans="1:13">
      <c r="A215" s="25"/>
      <c r="J215" s="57"/>
      <c r="K215" s="58"/>
      <c r="L215" s="58"/>
      <c r="M215" s="59"/>
    </row>
    <row r="216" spans="1:13">
      <c r="J216" s="57"/>
      <c r="K216" s="58"/>
      <c r="L216" s="58"/>
      <c r="M216" s="59"/>
    </row>
    <row r="217" spans="1:13">
      <c r="J217" s="57"/>
      <c r="K217" s="58"/>
      <c r="L217" s="58"/>
      <c r="M217" s="59"/>
    </row>
    <row r="218" spans="1:13">
      <c r="J218" s="64"/>
      <c r="K218" s="65"/>
      <c r="L218" s="65"/>
      <c r="M218" s="66"/>
    </row>
    <row r="219" spans="1:13">
      <c r="J219" s="64"/>
      <c r="K219" s="65"/>
      <c r="L219" s="65"/>
      <c r="M219" s="66"/>
    </row>
    <row r="220" spans="1:13">
      <c r="J220" s="64"/>
      <c r="K220" s="65"/>
      <c r="L220" s="65"/>
      <c r="M220" s="66"/>
    </row>
    <row r="221" spans="1:13">
      <c r="J221" s="64"/>
      <c r="K221" s="65"/>
      <c r="L221" s="65"/>
      <c r="M221" s="66"/>
    </row>
    <row r="222" spans="1:13">
      <c r="J222" s="64"/>
      <c r="K222" s="65"/>
      <c r="L222" s="65"/>
      <c r="M222" s="66"/>
    </row>
    <row r="223" spans="1:13">
      <c r="J223" s="64"/>
      <c r="K223" s="65"/>
      <c r="L223" s="65"/>
      <c r="M223" s="66"/>
    </row>
    <row r="224" spans="1:13">
      <c r="J224" s="64"/>
      <c r="K224" s="65"/>
      <c r="L224" s="65"/>
      <c r="M224" s="66"/>
    </row>
    <row r="225" spans="10:13">
      <c r="J225" s="64"/>
      <c r="K225" s="65"/>
      <c r="L225" s="65"/>
      <c r="M225" s="66"/>
    </row>
    <row r="226" spans="10:13">
      <c r="J226" s="67"/>
      <c r="K226" s="68"/>
      <c r="L226" s="68"/>
      <c r="M226" s="69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0"/>
  <dimension ref="A1:Q252"/>
  <sheetViews>
    <sheetView showGridLines="0" zoomScale="90" zoomScaleNormal="90" workbookViewId="0">
      <selection activeCell="A125" sqref="A125"/>
    </sheetView>
  </sheetViews>
  <sheetFormatPr defaultRowHeight="12.75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140625" style="72" customWidth="1"/>
    <col min="5" max="8" width="12.5703125" style="1" bestFit="1" customWidth="1"/>
    <col min="9" max="9" width="16.140625" style="72" customWidth="1"/>
    <col min="10" max="10" width="4.5703125" customWidth="1"/>
    <col min="11" max="11" width="4.140625" customWidth="1"/>
    <col min="12" max="12" width="9.28515625" customWidth="1"/>
    <col min="13" max="13" width="14.140625" hidden="1" customWidth="1"/>
    <col min="14" max="14" width="46.7109375" style="74" hidden="1" customWidth="1"/>
    <col min="15" max="15" width="15.28515625" style="73" hidden="1" customWidth="1"/>
    <col min="16" max="16" width="16.5703125" hidden="1" customWidth="1"/>
    <col min="17" max="17" width="16.140625" bestFit="1" customWidth="1"/>
  </cols>
  <sheetData>
    <row r="1" spans="1:17">
      <c r="A1" s="466" t="s">
        <v>593</v>
      </c>
      <c r="B1" s="466"/>
      <c r="C1" s="31" t="s">
        <v>594</v>
      </c>
      <c r="D1" s="33" t="s">
        <v>1114</v>
      </c>
      <c r="E1" s="32" t="s">
        <v>249</v>
      </c>
      <c r="F1" s="32" t="s">
        <v>246</v>
      </c>
      <c r="G1" s="32" t="s">
        <v>613</v>
      </c>
      <c r="H1" s="32" t="s">
        <v>614</v>
      </c>
      <c r="I1" s="33" t="s">
        <v>1115</v>
      </c>
      <c r="J1" s="6"/>
      <c r="L1" s="91"/>
      <c r="M1" s="85" t="s">
        <v>979</v>
      </c>
      <c r="N1" s="90" t="s">
        <v>977</v>
      </c>
      <c r="O1" s="86" t="s">
        <v>978</v>
      </c>
    </row>
    <row r="2" spans="1:17" s="93" customFormat="1">
      <c r="A2" s="84">
        <v>8</v>
      </c>
      <c r="B2" s="78">
        <v>-1</v>
      </c>
      <c r="C2" s="78" t="s">
        <v>40</v>
      </c>
      <c r="D2" s="125">
        <f>IFERROR(VLOOKUP($A2,'Balancete 2015'!$A:$D,4,0),"0")+O2</f>
        <v>225950950.93000001</v>
      </c>
      <c r="E2" s="78"/>
      <c r="F2" s="78"/>
      <c r="G2" s="78"/>
      <c r="H2" s="78"/>
      <c r="I2" s="125">
        <f>IFERROR(VLOOKUP($A2,'Balancete 2016'!$A:$D,4,0),"0")</f>
        <v>320368802.38</v>
      </c>
      <c r="J2" s="95"/>
      <c r="K2" s="57"/>
      <c r="L2" s="58"/>
      <c r="M2" s="87">
        <f>VLOOKUP(A2,'1 sem.15'!A:D,1,0)</f>
        <v>8</v>
      </c>
      <c r="N2" s="161" t="str">
        <f>VLOOKUP(A2,'1 sem.15'!A:D,3,0)</f>
        <v>CONTAS DE RESULTADO DEVEDORAS</v>
      </c>
      <c r="O2" s="161">
        <f>VLOOKUP(A2,'1 sem.15'!A:D,4,0)</f>
        <v>154964138.34999999</v>
      </c>
      <c r="P2" s="100"/>
      <c r="Q2" s="95"/>
    </row>
    <row r="3" spans="1:17" s="93" customFormat="1">
      <c r="A3" s="84" t="s">
        <v>41</v>
      </c>
      <c r="B3" s="78">
        <v>-9</v>
      </c>
      <c r="C3" s="78" t="s">
        <v>42</v>
      </c>
      <c r="D3" s="125">
        <f>IFERROR(VLOOKUP($A3,'Balancete 2015'!$A:$D,4,0),"0")+O3</f>
        <v>174348288.11000001</v>
      </c>
      <c r="E3" s="78"/>
      <c r="F3" s="78"/>
      <c r="G3" s="78"/>
      <c r="H3" s="78"/>
      <c r="I3" s="125">
        <f>IFERROR(VLOOKUP($A3,'Balancete 2016'!$A:$D,4,0),"0")</f>
        <v>288326842.72000003</v>
      </c>
      <c r="J3" s="95"/>
      <c r="K3" s="57"/>
      <c r="M3" s="87" t="str">
        <f>VLOOKUP(A3,'1 sem.15'!A:D,1,0)</f>
        <v>8.1</v>
      </c>
      <c r="N3" s="161" t="str">
        <f>VLOOKUP(A3,'1 sem.15'!A:D,3,0)</f>
        <v>DESPESAS OPERACIONAIS</v>
      </c>
      <c r="O3" s="161">
        <f>VLOOKUP(A3,'1 sem.15'!A:D,4,0)</f>
        <v>117893327.86</v>
      </c>
      <c r="P3" s="100"/>
      <c r="Q3" s="95"/>
    </row>
    <row r="4" spans="1:17" s="93" customFormat="1">
      <c r="A4" s="84" t="s">
        <v>334</v>
      </c>
      <c r="B4" s="78">
        <v>-8</v>
      </c>
      <c r="C4" s="78" t="s">
        <v>43</v>
      </c>
      <c r="D4" s="125">
        <f>IFERROR(VLOOKUP($A4,'Balancete 2015'!$A:$D,4,0),"0")+O4</f>
        <v>138475022.58000001</v>
      </c>
      <c r="E4" s="78"/>
      <c r="F4" s="78"/>
      <c r="G4" s="78"/>
      <c r="H4" s="78"/>
      <c r="I4" s="125">
        <f>IFERROR(VLOOKUP($A4,'Balancete 2016'!$A:$D,4,0),"0")</f>
        <v>230349612.99000001</v>
      </c>
      <c r="J4" s="95"/>
      <c r="K4" s="57"/>
      <c r="M4" s="87" t="str">
        <f>VLOOKUP(A4,'1 sem.15'!A:D,1,0)</f>
        <v>8.1.6</v>
      </c>
      <c r="N4" s="161" t="str">
        <f>VLOOKUP(A4,'1 sem.15'!A:D,3,0)</f>
        <v>DESPESAS DE PARTICIPACOES</v>
      </c>
      <c r="O4" s="161">
        <f>VLOOKUP(A4,'1 sem.15'!A:D,4,0)</f>
        <v>91432682.060000002</v>
      </c>
      <c r="P4" s="100"/>
      <c r="Q4" s="95"/>
    </row>
    <row r="5" spans="1:17" s="93" customFormat="1">
      <c r="A5" s="84" t="s">
        <v>44</v>
      </c>
      <c r="B5" s="78">
        <v>-5</v>
      </c>
      <c r="C5" s="78" t="s">
        <v>45</v>
      </c>
      <c r="D5" s="125">
        <f>IFERROR(VLOOKUP($A5,'Balancete 2015'!$A:$D,4,0),"0")+O5</f>
        <v>138475022.58000001</v>
      </c>
      <c r="E5" s="78"/>
      <c r="F5" s="78"/>
      <c r="G5" s="78"/>
      <c r="H5" s="78"/>
      <c r="I5" s="125">
        <f>IFERROR(VLOOKUP($A5,'Balancete 2016'!$A:$D,4,0),"0")</f>
        <v>230349612.99000001</v>
      </c>
      <c r="J5" s="95"/>
      <c r="K5" s="57"/>
      <c r="M5" s="87" t="str">
        <f>VLOOKUP(A5,'1 sem.15'!A:D,1,0)</f>
        <v>8.1.6.20</v>
      </c>
      <c r="N5" s="161" t="str">
        <f>VLOOKUP(A5,'1 sem.15'!A:D,3,0)</f>
        <v>DESPESAS DE AJUSTES EM INVEST COLIG E CONTROL</v>
      </c>
      <c r="O5" s="161">
        <f>VLOOKUP(A5,'1 sem.15'!A:D,4,0)</f>
        <v>91432682.060000002</v>
      </c>
      <c r="P5" s="100"/>
      <c r="Q5" s="95"/>
    </row>
    <row r="6" spans="1:17" s="93" customFormat="1">
      <c r="A6" s="84" t="s">
        <v>46</v>
      </c>
      <c r="B6" s="78">
        <v>0</v>
      </c>
      <c r="C6" s="78" t="s">
        <v>47</v>
      </c>
      <c r="D6" s="125">
        <f>IFERROR(VLOOKUP($A6,'Balancete 2015'!$A:$D,4,0),"0")+O6</f>
        <v>138475022.58000001</v>
      </c>
      <c r="E6" s="78"/>
      <c r="F6" s="78"/>
      <c r="G6" s="78"/>
      <c r="H6" s="78"/>
      <c r="I6" s="125">
        <f>IFERROR(VLOOKUP($A6,'Balancete 2016'!$A:$D,4,0),"0")</f>
        <v>230349612.99000001</v>
      </c>
      <c r="J6" s="95"/>
      <c r="K6" s="57"/>
      <c r="M6" s="87" t="str">
        <f>VLOOKUP(A6,'1 sem.15'!A:D,1,0)</f>
        <v>8.1.6.20.10</v>
      </c>
      <c r="N6" s="161" t="str">
        <f>VLOOKUP(A6,'1 sem.15'!A:D,3,0)</f>
        <v>DESPESAS DE AJUSTES EM INVEST EM COLIG E CONTROL</v>
      </c>
      <c r="O6" s="161">
        <f>VLOOKUP(A6,'1 sem.15'!A:D,4,0)</f>
        <v>91432682.060000002</v>
      </c>
      <c r="P6" s="100"/>
      <c r="Q6" s="95"/>
    </row>
    <row r="7" spans="1:17" s="93" customFormat="1">
      <c r="A7" s="84" t="s">
        <v>48</v>
      </c>
      <c r="B7" s="78">
        <v>-5</v>
      </c>
      <c r="C7" s="78" t="s">
        <v>428</v>
      </c>
      <c r="D7" s="125">
        <f>IFERROR(VLOOKUP($A7,'Balancete 2015'!$A:$D,4,0),"0")+O7</f>
        <v>105504353.59999999</v>
      </c>
      <c r="E7" s="78">
        <v>200</v>
      </c>
      <c r="F7" s="78"/>
      <c r="G7" s="78"/>
      <c r="H7" s="78"/>
      <c r="I7" s="125" t="str">
        <f>IFERROR(VLOOKUP($A7,'Balancete 2016'!$A:$D,4,0),"0")</f>
        <v>0</v>
      </c>
      <c r="J7" s="95"/>
      <c r="K7" s="57"/>
      <c r="M7" s="87" t="str">
        <f>VLOOKUP(A7,'1 sem.15'!A:D,1,0)</f>
        <v>8.1.6.20.10.20</v>
      </c>
      <c r="N7" s="161" t="str">
        <f>VLOOKUP(A7,'1 sem.15'!A:D,3,0)</f>
        <v>DESP AJ EM INVEST EM COLIG E CONTROL</v>
      </c>
      <c r="O7" s="161">
        <f>VLOOKUP(A7,'1 sem.15'!A:D,4,0)</f>
        <v>79311117.939999998</v>
      </c>
      <c r="P7" s="100"/>
      <c r="Q7" s="95"/>
    </row>
    <row r="8" spans="1:17" s="93" customFormat="1">
      <c r="A8" s="84" t="s">
        <v>49</v>
      </c>
      <c r="B8" s="78">
        <v>-3</v>
      </c>
      <c r="C8" s="78" t="s">
        <v>429</v>
      </c>
      <c r="D8" s="125">
        <f>IFERROR(VLOOKUP($A8,'Balancete 2015'!$A:$D,4,0),"0")+O8</f>
        <v>23761991.979999997</v>
      </c>
      <c r="E8" s="78">
        <v>200</v>
      </c>
      <c r="F8" s="78"/>
      <c r="G8" s="78"/>
      <c r="H8" s="78"/>
      <c r="I8" s="125">
        <f>IFERROR(VLOOKUP($A8,'Balancete 2016'!$A:$D,4,0),"0")</f>
        <v>20906999.82</v>
      </c>
      <c r="J8" s="95"/>
      <c r="K8" s="57"/>
      <c r="M8" s="87" t="str">
        <f>VLOOKUP(A8,'1 sem.15'!A:D,1,0)</f>
        <v>8.1.6.20.10.21</v>
      </c>
      <c r="N8" s="161" t="str">
        <f>VLOOKUP(A8,'1 sem.15'!A:D,3,0)</f>
        <v>DESP DE AJ EM INVEST/-/AMORT INTANG</v>
      </c>
      <c r="O8" s="161">
        <f>VLOOKUP(A8,'1 sem.15'!A:D,4,0)</f>
        <v>12121564.119999999</v>
      </c>
      <c r="P8" s="100"/>
      <c r="Q8" s="95"/>
    </row>
    <row r="9" spans="1:17" s="93" customFormat="1">
      <c r="A9" s="84" t="s">
        <v>50</v>
      </c>
      <c r="B9" s="78">
        <v>-2</v>
      </c>
      <c r="C9" s="78" t="s">
        <v>430</v>
      </c>
      <c r="D9" s="125">
        <f>IFERROR(VLOOKUP($A9,'Balancete 2015'!$A:$D,4,0),"0")+O9</f>
        <v>9208677</v>
      </c>
      <c r="E9" s="78">
        <v>200</v>
      </c>
      <c r="F9" s="78"/>
      <c r="G9" s="78"/>
      <c r="H9" s="78"/>
      <c r="I9" s="125">
        <f>IFERROR(VLOOKUP($A9,'Balancete 2016'!$A:$D,4,0),"0")</f>
        <v>13775086.5</v>
      </c>
      <c r="J9" s="95"/>
      <c r="K9" s="57"/>
      <c r="M9" s="87" t="str">
        <f>+A9</f>
        <v>8.1.6.20.10.30</v>
      </c>
      <c r="N9" s="161" t="str">
        <f>+C9</f>
        <v>DESP DE AJ EM INVEST - AJUSTE IFRS/CAIXAPAR</v>
      </c>
      <c r="O9" s="161">
        <v>0</v>
      </c>
      <c r="P9" s="100"/>
      <c r="Q9" s="95"/>
    </row>
    <row r="10" spans="1:17" s="93" customFormat="1">
      <c r="A10" s="89" t="s">
        <v>1026</v>
      </c>
      <c r="B10" s="89">
        <v>0</v>
      </c>
      <c r="C10" s="89" t="s">
        <v>1027</v>
      </c>
      <c r="D10" s="163"/>
      <c r="E10" s="78">
        <v>200</v>
      </c>
      <c r="F10" s="78"/>
      <c r="G10" s="78"/>
      <c r="H10" s="78"/>
      <c r="I10" s="125">
        <f>IFERROR(VLOOKUP($A10,'Balancete 2016'!$A:$D,4,0),"0")</f>
        <v>137242051.50999999</v>
      </c>
      <c r="J10" s="95"/>
      <c r="K10" s="57"/>
      <c r="M10" s="87"/>
      <c r="N10" s="161"/>
      <c r="O10" s="161"/>
      <c r="P10" s="100"/>
      <c r="Q10" s="95"/>
    </row>
    <row r="11" spans="1:17" s="93" customFormat="1">
      <c r="A11" s="89" t="s">
        <v>1028</v>
      </c>
      <c r="B11" s="89">
        <v>-9</v>
      </c>
      <c r="C11" s="89" t="s">
        <v>1029</v>
      </c>
      <c r="D11" s="163"/>
      <c r="E11" s="78">
        <v>200</v>
      </c>
      <c r="F11" s="78"/>
      <c r="G11" s="78"/>
      <c r="H11" s="78"/>
      <c r="I11" s="125">
        <f>IFERROR(VLOOKUP($A11,'Balancete 2016'!$A:$D,4,0),"0")</f>
        <v>43848670.549999997</v>
      </c>
      <c r="J11" s="95"/>
      <c r="K11" s="57"/>
      <c r="M11" s="87"/>
      <c r="N11" s="161"/>
      <c r="O11" s="161"/>
      <c r="P11" s="100"/>
      <c r="Q11" s="95"/>
    </row>
    <row r="12" spans="1:17" s="93" customFormat="1">
      <c r="A12" s="89" t="s">
        <v>1030</v>
      </c>
      <c r="B12" s="89">
        <v>-7</v>
      </c>
      <c r="C12" s="89" t="s">
        <v>1031</v>
      </c>
      <c r="D12" s="163"/>
      <c r="E12" s="78">
        <v>200</v>
      </c>
      <c r="F12" s="78"/>
      <c r="G12" s="78"/>
      <c r="H12" s="78"/>
      <c r="I12" s="125">
        <f>IFERROR(VLOOKUP($A12,'Balancete 2016'!$A:$D,4,0),"0")</f>
        <v>33671.15</v>
      </c>
      <c r="J12" s="95"/>
      <c r="K12" s="57"/>
      <c r="M12" s="87"/>
      <c r="N12" s="161"/>
      <c r="O12" s="161"/>
      <c r="P12" s="100"/>
      <c r="Q12" s="95"/>
    </row>
    <row r="13" spans="1:17" s="93" customFormat="1">
      <c r="A13" s="89" t="s">
        <v>1032</v>
      </c>
      <c r="B13" s="89">
        <v>-5</v>
      </c>
      <c r="C13" s="89" t="s">
        <v>1033</v>
      </c>
      <c r="D13" s="163"/>
      <c r="E13" s="78">
        <v>200</v>
      </c>
      <c r="F13" s="78"/>
      <c r="G13" s="78"/>
      <c r="H13" s="78"/>
      <c r="I13" s="125">
        <f>IFERROR(VLOOKUP($A13,'Balancete 2016'!$A:$D,4,0),"0")</f>
        <v>1313609.95</v>
      </c>
      <c r="J13" s="95"/>
      <c r="K13" s="57"/>
      <c r="M13" s="87"/>
      <c r="N13" s="161"/>
      <c r="O13" s="161"/>
      <c r="P13" s="100"/>
      <c r="Q13" s="95"/>
    </row>
    <row r="14" spans="1:17" s="93" customFormat="1">
      <c r="A14" s="89" t="s">
        <v>1034</v>
      </c>
      <c r="B14" s="89">
        <v>-1</v>
      </c>
      <c r="C14" s="89" t="s">
        <v>1035</v>
      </c>
      <c r="D14" s="163"/>
      <c r="E14" s="78">
        <v>200</v>
      </c>
      <c r="F14" s="78"/>
      <c r="G14" s="78"/>
      <c r="H14" s="78"/>
      <c r="I14" s="125">
        <f>IFERROR(VLOOKUP($A14,'Balancete 2016'!$A:$D,4,0),"0")</f>
        <v>10080779.98</v>
      </c>
      <c r="J14" s="95"/>
      <c r="K14" s="57"/>
      <c r="M14" s="87"/>
      <c r="N14" s="161"/>
      <c r="O14" s="161"/>
      <c r="P14" s="100"/>
      <c r="Q14" s="95"/>
    </row>
    <row r="15" spans="1:17" s="93" customFormat="1">
      <c r="A15" s="89" t="s">
        <v>1036</v>
      </c>
      <c r="B15" s="89">
        <v>0</v>
      </c>
      <c r="C15" s="89" t="s">
        <v>1037</v>
      </c>
      <c r="D15" s="163"/>
      <c r="E15" s="78">
        <v>200</v>
      </c>
      <c r="F15" s="78"/>
      <c r="G15" s="78"/>
      <c r="H15" s="78"/>
      <c r="I15" s="125">
        <f>IFERROR(VLOOKUP($A15,'Balancete 2016'!$A:$D,4,0),"0")</f>
        <v>421748.44</v>
      </c>
      <c r="J15" s="95"/>
      <c r="K15" s="57"/>
      <c r="M15" s="87"/>
      <c r="N15" s="161"/>
      <c r="O15" s="161"/>
      <c r="P15" s="100"/>
      <c r="Q15" s="95"/>
    </row>
    <row r="16" spans="1:17" s="93" customFormat="1">
      <c r="A16" s="89" t="s">
        <v>1038</v>
      </c>
      <c r="B16" s="89">
        <v>-8</v>
      </c>
      <c r="C16" s="89" t="s">
        <v>1039</v>
      </c>
      <c r="D16" s="163"/>
      <c r="E16" s="78">
        <v>200</v>
      </c>
      <c r="F16" s="78"/>
      <c r="G16" s="78"/>
      <c r="H16" s="78"/>
      <c r="I16" s="125">
        <f>IFERROR(VLOOKUP($A16,'Balancete 2016'!$A:$D,4,0),"0")</f>
        <v>651422.4</v>
      </c>
      <c r="J16" s="95"/>
      <c r="K16" s="57"/>
      <c r="M16" s="87"/>
      <c r="N16" s="161"/>
      <c r="O16" s="161"/>
      <c r="P16" s="100"/>
      <c r="Q16" s="95"/>
    </row>
    <row r="17" spans="1:17" s="93" customFormat="1">
      <c r="A17" s="89" t="s">
        <v>1040</v>
      </c>
      <c r="B17" s="89">
        <v>-6</v>
      </c>
      <c r="C17" s="89" t="s">
        <v>1041</v>
      </c>
      <c r="D17" s="163"/>
      <c r="E17" s="78">
        <v>200</v>
      </c>
      <c r="F17" s="78"/>
      <c r="G17" s="78"/>
      <c r="H17" s="78"/>
      <c r="I17" s="125">
        <f>IFERROR(VLOOKUP($A17,'Balancete 2016'!$A:$D,4,0),"0")</f>
        <v>2075572.69</v>
      </c>
      <c r="J17" s="95"/>
      <c r="K17" s="57"/>
      <c r="M17" s="87"/>
      <c r="N17" s="161"/>
      <c r="O17" s="161"/>
      <c r="P17" s="100"/>
      <c r="Q17" s="95"/>
    </row>
    <row r="18" spans="1:17">
      <c r="A18" s="30" t="s">
        <v>51</v>
      </c>
      <c r="B18" s="29">
        <v>-6</v>
      </c>
      <c r="C18" s="29" t="s">
        <v>52</v>
      </c>
      <c r="D18" s="71">
        <f>IFERROR(VLOOKUP($A18,'Balancete 2015'!$A:$D,4,0),"0")+O18</f>
        <v>12800692.210000001</v>
      </c>
      <c r="E18" s="29"/>
      <c r="F18" s="29"/>
      <c r="G18" s="29"/>
      <c r="H18" s="29"/>
      <c r="I18" s="125">
        <f>IFERROR(VLOOKUP($A18,'Balancete 2016'!$A:$D,4,0),"0")</f>
        <v>14775312.08</v>
      </c>
      <c r="J18" s="6"/>
      <c r="K18" s="57"/>
      <c r="M18" s="87" t="str">
        <f>VLOOKUP(A18,'1 sem.15'!A:D,1,0)</f>
        <v>8.1.7</v>
      </c>
      <c r="N18" s="88" t="str">
        <f>VLOOKUP(A18,'1 sem.15'!A:D,3,0)</f>
        <v>DESPESAS ADMINISTRATIVAS</v>
      </c>
      <c r="O18" s="88">
        <f>VLOOKUP(A18,'1 sem.15'!A:D,4,0)</f>
        <v>6376884.5499999998</v>
      </c>
      <c r="P18" s="7"/>
      <c r="Q18" s="6"/>
    </row>
    <row r="19" spans="1:17" s="93" customFormat="1">
      <c r="A19" s="84" t="s">
        <v>53</v>
      </c>
      <c r="B19" s="78">
        <v>0</v>
      </c>
      <c r="C19" s="78" t="s">
        <v>54</v>
      </c>
      <c r="D19" s="125">
        <f>IFERROR(VLOOKUP($A19,'Balancete 2015'!$A:$D,4,0),"0")+O19</f>
        <v>23447.510000000002</v>
      </c>
      <c r="E19" s="78">
        <v>400</v>
      </c>
      <c r="F19" s="78">
        <v>100</v>
      </c>
      <c r="G19" s="78">
        <v>900</v>
      </c>
      <c r="H19" s="78"/>
      <c r="I19" s="125">
        <f>IFERROR(VLOOKUP($A19,'Balancete 2016'!$A:$D,4,0),"0")</f>
        <v>25918.45</v>
      </c>
      <c r="J19" s="95"/>
      <c r="K19" s="57"/>
      <c r="M19" s="87" t="str">
        <f>VLOOKUP(A19,'1 sem.15'!A:D,1,0)</f>
        <v>8.1.7.03</v>
      </c>
      <c r="N19" s="161" t="str">
        <f>VLOOKUP(A19,'1 sem.15'!A:D,3,0)</f>
        <v>DESPESAS DE AGUA ENERGIA E GAS</v>
      </c>
      <c r="O19" s="161">
        <f>VLOOKUP(A19,'1 sem.15'!A:D,4,0)</f>
        <v>10245.780000000001</v>
      </c>
      <c r="P19" s="100"/>
      <c r="Q19" s="95"/>
    </row>
    <row r="20" spans="1:17">
      <c r="A20" s="30" t="s">
        <v>55</v>
      </c>
      <c r="B20" s="29">
        <v>-1</v>
      </c>
      <c r="C20" s="29" t="s">
        <v>431</v>
      </c>
      <c r="D20" s="71">
        <f>IFERROR(VLOOKUP($A20,'Balancete 2015'!$A:$D,4,0),"0")+O20</f>
        <v>23447.510000000002</v>
      </c>
      <c r="E20" s="29"/>
      <c r="F20" s="29"/>
      <c r="G20" s="29"/>
      <c r="H20" s="29"/>
      <c r="I20" s="125">
        <f>IFERROR(VLOOKUP($A20,'Balancete 2016'!$A:$D,4,0),"0")</f>
        <v>25918.45</v>
      </c>
      <c r="J20" s="6"/>
      <c r="K20" s="57"/>
      <c r="M20" s="87" t="str">
        <f>VLOOKUP(A20,'1 sem.15'!A:D,1,0)</f>
        <v>8.1.7.03.11</v>
      </c>
      <c r="N20" s="88" t="str">
        <f>VLOOKUP(A20,'1 sem.15'!A:D,3,0)</f>
        <v>DESPESAS DE AGUA ENERGIA E GAS</v>
      </c>
      <c r="O20" s="88">
        <f>VLOOKUP(A20,'1 sem.15'!A:D,4,0)</f>
        <v>10245.780000000001</v>
      </c>
      <c r="P20" s="7"/>
      <c r="Q20" s="6"/>
    </row>
    <row r="21" spans="1:17">
      <c r="A21" s="30" t="s">
        <v>56</v>
      </c>
      <c r="B21" s="29">
        <v>0</v>
      </c>
      <c r="C21" s="29" t="s">
        <v>432</v>
      </c>
      <c r="D21" s="71">
        <f>IFERROR(VLOOKUP($A21,'Balancete 2015'!$A:$D,4,0),"0")+O21</f>
        <v>23447.510000000002</v>
      </c>
      <c r="E21" s="29"/>
      <c r="F21" s="29"/>
      <c r="G21" s="29"/>
      <c r="H21" s="29"/>
      <c r="I21" s="125">
        <f>IFERROR(VLOOKUP($A21,'Balancete 2016'!$A:$D,4,0),"0")</f>
        <v>25918.45</v>
      </c>
      <c r="J21" s="6"/>
      <c r="K21" s="57"/>
      <c r="M21" s="87" t="str">
        <f>VLOOKUP(A21,'1 sem.15'!A:D,1,0)</f>
        <v>8.1.7.03.11.01</v>
      </c>
      <c r="N21" s="88" t="str">
        <f>VLOOKUP(A21,'1 sem.15'!A:D,3,0)</f>
        <v>DESPESAS C/ CONSUMO DE AGUA E ENERGIA</v>
      </c>
      <c r="O21" s="88">
        <f>VLOOKUP(A21,'1 sem.15'!A:D,4,0)</f>
        <v>10245.780000000001</v>
      </c>
      <c r="P21" s="7"/>
      <c r="Q21" s="6"/>
    </row>
    <row r="22" spans="1:17" s="93" customFormat="1">
      <c r="A22" s="84" t="s">
        <v>57</v>
      </c>
      <c r="B22" s="78">
        <v>-3</v>
      </c>
      <c r="C22" s="78" t="s">
        <v>58</v>
      </c>
      <c r="D22" s="125">
        <f>IFERROR(VLOOKUP($A22,'Balancete 2015'!$A:$D,4,0),"0")+O22</f>
        <v>255487.14</v>
      </c>
      <c r="E22" s="78">
        <v>400</v>
      </c>
      <c r="F22" s="78"/>
      <c r="G22" s="78">
        <v>700</v>
      </c>
      <c r="H22" s="78"/>
      <c r="I22" s="125">
        <f>IFERROR(VLOOKUP($A22,'Balancete 2016'!$A:$D,4,0),"0")</f>
        <v>255681.24</v>
      </c>
      <c r="J22" s="95"/>
      <c r="K22" s="57"/>
      <c r="M22" s="87" t="str">
        <f>VLOOKUP(A22,'1 sem.15'!A:D,1,0)</f>
        <v>8.1.7.06</v>
      </c>
      <c r="N22" s="161" t="str">
        <f>VLOOKUP(A22,'1 sem.15'!A:D,3,0)</f>
        <v>DESPESAS DE ALUGUEIS</v>
      </c>
      <c r="O22" s="161">
        <f>VLOOKUP(A22,'1 sem.15'!A:D,4,0)</f>
        <v>127646.54</v>
      </c>
      <c r="P22" s="100"/>
      <c r="Q22" s="95"/>
    </row>
    <row r="23" spans="1:17">
      <c r="A23" s="30" t="s">
        <v>59</v>
      </c>
      <c r="B23" s="29">
        <v>-5</v>
      </c>
      <c r="C23" s="29" t="s">
        <v>433</v>
      </c>
      <c r="D23" s="71">
        <f>IFERROR(VLOOKUP($A23,'Balancete 2015'!$A:$D,4,0),"0")+O23</f>
        <v>255487.14</v>
      </c>
      <c r="E23" s="29"/>
      <c r="F23" s="29"/>
      <c r="G23" s="29"/>
      <c r="H23" s="29"/>
      <c r="I23" s="125">
        <f>IFERROR(VLOOKUP($A23,'Balancete 2016'!$A:$D,4,0),"0")</f>
        <v>255681.24</v>
      </c>
      <c r="J23" s="6"/>
      <c r="K23" s="57"/>
      <c r="M23" s="87" t="str">
        <f>VLOOKUP(A23,'1 sem.15'!A:D,1,0)</f>
        <v>8.1.7.06.11</v>
      </c>
      <c r="N23" s="88" t="str">
        <f>VLOOKUP(A23,'1 sem.15'!A:D,3,0)</f>
        <v>DESPESAS DE ALUGUEIS</v>
      </c>
      <c r="O23" s="88">
        <f>VLOOKUP(A23,'1 sem.15'!A:D,4,0)</f>
        <v>127646.54</v>
      </c>
      <c r="P23" s="7"/>
      <c r="Q23" s="6"/>
    </row>
    <row r="24" spans="1:17">
      <c r="A24" s="30" t="s">
        <v>60</v>
      </c>
      <c r="B24" s="29">
        <v>-3</v>
      </c>
      <c r="C24" s="29" t="s">
        <v>433</v>
      </c>
      <c r="D24" s="71">
        <f>IFERROR(VLOOKUP($A24,'Balancete 2015'!$A:$D,4,0),"0")+O24</f>
        <v>255487.14</v>
      </c>
      <c r="E24" s="29"/>
      <c r="F24" s="29"/>
      <c r="G24" s="29"/>
      <c r="H24" s="29"/>
      <c r="I24" s="125">
        <f>IFERROR(VLOOKUP($A24,'Balancete 2016'!$A:$D,4,0),"0")</f>
        <v>255681.24</v>
      </c>
      <c r="J24" s="6"/>
      <c r="K24" s="57"/>
      <c r="M24" s="87" t="str">
        <f>VLOOKUP(A24,'1 sem.15'!A:D,1,0)</f>
        <v>8.1.7.06.11.01</v>
      </c>
      <c r="N24" s="88" t="str">
        <f>VLOOKUP(A24,'1 sem.15'!A:D,3,0)</f>
        <v>DESPESAS DE ALUGUEIS</v>
      </c>
      <c r="O24" s="88">
        <f>VLOOKUP(A24,'1 sem.15'!A:D,4,0)</f>
        <v>127646.54</v>
      </c>
      <c r="P24" s="7"/>
      <c r="Q24" s="6"/>
    </row>
    <row r="25" spans="1:17" s="93" customFormat="1">
      <c r="A25" s="84" t="s">
        <v>61</v>
      </c>
      <c r="B25" s="78">
        <v>-6</v>
      </c>
      <c r="C25" s="78" t="s">
        <v>62</v>
      </c>
      <c r="D25" s="125">
        <f>IFERROR(VLOOKUP($A25,'Balancete 2015'!$A:$D,4,0),"0")+O25</f>
        <v>3029463.8600000003</v>
      </c>
      <c r="E25" s="78">
        <v>400</v>
      </c>
      <c r="F25" s="78"/>
      <c r="G25" s="78">
        <v>600</v>
      </c>
      <c r="H25" s="78"/>
      <c r="I25" s="125">
        <f>IFERROR(VLOOKUP($A25,'Balancete 2016'!$A:$D,4,0),"0")</f>
        <v>3062158.43</v>
      </c>
      <c r="J25" s="95"/>
      <c r="K25" s="57"/>
      <c r="M25" s="87" t="str">
        <f>VLOOKUP(A25,'1 sem.15'!A:D,1,0)</f>
        <v>8.1.7.18</v>
      </c>
      <c r="N25" s="161" t="str">
        <f>VLOOKUP(A25,'1 sem.15'!A:D,3,0)</f>
        <v>DESPESAS DE HONORARIOS</v>
      </c>
      <c r="O25" s="161">
        <f>VLOOKUP(A25,'1 sem.15'!A:D,4,0)</f>
        <v>1430071.61</v>
      </c>
      <c r="P25" s="100"/>
      <c r="Q25" s="95"/>
    </row>
    <row r="26" spans="1:17">
      <c r="A26" s="30" t="s">
        <v>63</v>
      </c>
      <c r="B26" s="29">
        <v>-3</v>
      </c>
      <c r="C26" s="29" t="s">
        <v>434</v>
      </c>
      <c r="D26" s="71">
        <f>IFERROR(VLOOKUP($A26,'Balancete 2015'!$A:$D,4,0),"0")+O26</f>
        <v>3029463.8600000003</v>
      </c>
      <c r="E26" s="29"/>
      <c r="F26" s="29"/>
      <c r="G26" s="29"/>
      <c r="H26" s="29"/>
      <c r="I26" s="125">
        <f>IFERROR(VLOOKUP($A26,'Balancete 2016'!$A:$D,4,0),"0")</f>
        <v>3062158.43</v>
      </c>
      <c r="J26" s="6"/>
      <c r="K26" s="57"/>
      <c r="M26" s="87" t="str">
        <f>VLOOKUP(A26,'1 sem.15'!A:D,1,0)</f>
        <v>8.1.7.18.21</v>
      </c>
      <c r="N26" s="88" t="str">
        <f>VLOOKUP(A26,'1 sem.15'!A:D,3,0)</f>
        <v>DIRETORIA E CONSELHO DE ADMINISTRACAO</v>
      </c>
      <c r="O26" s="88">
        <f>VLOOKUP(A26,'1 sem.15'!A:D,4,0)</f>
        <v>1430071.61</v>
      </c>
      <c r="P26" s="7"/>
      <c r="Q26" s="6"/>
    </row>
    <row r="27" spans="1:17">
      <c r="A27" s="30" t="s">
        <v>64</v>
      </c>
      <c r="B27" s="29">
        <v>-1</v>
      </c>
      <c r="C27" s="29" t="s">
        <v>804</v>
      </c>
      <c r="D27" s="71">
        <f>IFERROR(VLOOKUP($A27,'Balancete 2015'!$A:$D,4,0),"0")+O27</f>
        <v>1908262.88</v>
      </c>
      <c r="E27" s="29"/>
      <c r="F27" s="29"/>
      <c r="G27" s="29"/>
      <c r="H27" s="29"/>
      <c r="I27" s="125">
        <f>IFERROR(VLOOKUP($A27,'Balancete 2016'!$A:$D,4,0),"0")</f>
        <v>1891081.36</v>
      </c>
      <c r="J27" s="6"/>
      <c r="K27" s="57"/>
      <c r="M27" s="87" t="str">
        <f>VLOOKUP(A27,'1 sem.15'!A:D,1,0)</f>
        <v>8.1.7.18.21.01</v>
      </c>
      <c r="N27" s="88" t="str">
        <f>VLOOKUP(A27,'1 sem.15'!A:D,3,0)</f>
        <v>DESP DE HONOR - DIRETORIA/CONS DE ADMINISTRACAO</v>
      </c>
      <c r="O27" s="88">
        <f>VLOOKUP(A27,'1 sem.15'!A:D,4,0)</f>
        <v>894987.82</v>
      </c>
      <c r="P27" s="7"/>
      <c r="Q27" s="6"/>
    </row>
    <row r="28" spans="1:17">
      <c r="A28" s="30" t="s">
        <v>65</v>
      </c>
      <c r="B28" s="29">
        <v>0</v>
      </c>
      <c r="C28" s="29" t="s">
        <v>435</v>
      </c>
      <c r="D28" s="71">
        <f>IFERROR(VLOOKUP($A28,'Balancete 2015'!$A:$D,4,0),"0")+O28</f>
        <v>177394.27000000002</v>
      </c>
      <c r="E28" s="29"/>
      <c r="F28" s="29"/>
      <c r="G28" s="29"/>
      <c r="H28" s="29"/>
      <c r="I28" s="125">
        <f>IFERROR(VLOOKUP($A28,'Balancete 2016'!$A:$D,4,0),"0")</f>
        <v>199366.42</v>
      </c>
      <c r="J28" s="6"/>
      <c r="K28" s="57"/>
      <c r="M28" s="87" t="str">
        <f>VLOOKUP(A28,'1 sem.15'!A:D,1,0)</f>
        <v>8.1.7.18.21.02</v>
      </c>
      <c r="N28" s="88" t="str">
        <f>VLOOKUP(A28,'1 sem.15'!A:D,3,0)</f>
        <v>DESPESAS COM FGTS - DIRETORIA</v>
      </c>
      <c r="O28" s="88">
        <f>VLOOKUP(A28,'1 sem.15'!A:D,4,0)</f>
        <v>80861.39</v>
      </c>
      <c r="P28" s="7"/>
      <c r="Q28" s="6"/>
    </row>
    <row r="29" spans="1:17">
      <c r="A29" s="30" t="s">
        <v>66</v>
      </c>
      <c r="B29" s="29">
        <v>-8</v>
      </c>
      <c r="C29" s="29" t="s">
        <v>436</v>
      </c>
      <c r="D29" s="71">
        <f>IFERROR(VLOOKUP($A29,'Balancete 2015'!$A:$D,4,0),"0")+O29</f>
        <v>510448.33999999997</v>
      </c>
      <c r="E29" s="29"/>
      <c r="F29" s="29"/>
      <c r="G29" s="29"/>
      <c r="H29" s="29"/>
      <c r="I29" s="125">
        <f>IFERROR(VLOOKUP($A29,'Balancete 2016'!$A:$D,4,0),"0")</f>
        <v>574947.17000000004</v>
      </c>
      <c r="J29" s="6"/>
      <c r="K29" s="57"/>
      <c r="M29" s="87" t="str">
        <f>VLOOKUP(A29,'1 sem.15'!A:D,1,0)</f>
        <v>8.1.7.18.21.03</v>
      </c>
      <c r="N29" s="88" t="str">
        <f>VLOOKUP(A29,'1 sem.15'!A:D,3,0)</f>
        <v>DESPESAS COM INSS - DIRETORIA</v>
      </c>
      <c r="O29" s="88">
        <f>VLOOKUP(A29,'1 sem.15'!A:D,4,0)</f>
        <v>219637.62</v>
      </c>
      <c r="P29" s="7"/>
      <c r="Q29" s="6"/>
    </row>
    <row r="30" spans="1:17">
      <c r="A30" s="30" t="s">
        <v>67</v>
      </c>
      <c r="B30" s="29">
        <v>-4</v>
      </c>
      <c r="C30" s="29" t="s">
        <v>437</v>
      </c>
      <c r="D30" s="71">
        <f>IFERROR(VLOOKUP($A30,'Balancete 2015'!$A:$D,4,0),"0")+O30</f>
        <v>42969.42</v>
      </c>
      <c r="E30" s="29"/>
      <c r="F30" s="29"/>
      <c r="G30" s="29"/>
      <c r="H30" s="29"/>
      <c r="I30" s="125">
        <f>IFERROR(VLOOKUP($A30,'Balancete 2016'!$A:$D,4,0),"0")</f>
        <v>147154.07</v>
      </c>
      <c r="J30" s="6"/>
      <c r="K30" s="57"/>
      <c r="M30" s="87" t="str">
        <f>VLOOKUP(A30,'1 sem.15'!A:D,1,0)</f>
        <v>8.1.7.18.21.05</v>
      </c>
      <c r="N30" s="88" t="str">
        <f>VLOOKUP(A30,'1 sem.15'!A:D,3,0)</f>
        <v>DESPESAS C/ FUNCEF - DIRETORIA</v>
      </c>
      <c r="O30" s="88">
        <f>VLOOKUP(A30,'1 sem.15'!A:D,4,0)</f>
        <v>32406.45</v>
      </c>
      <c r="P30" s="7"/>
      <c r="Q30" s="6"/>
    </row>
    <row r="31" spans="1:17">
      <c r="A31" s="30" t="s">
        <v>68</v>
      </c>
      <c r="B31" s="29">
        <v>0</v>
      </c>
      <c r="C31" s="29" t="s">
        <v>438</v>
      </c>
      <c r="D31" s="71">
        <f>IFERROR(VLOOKUP($A31,'Balancete 2015'!$A:$D,4,0),"0")+O31</f>
        <v>64322.600000000006</v>
      </c>
      <c r="E31" s="29"/>
      <c r="F31" s="29"/>
      <c r="G31" s="29"/>
      <c r="H31" s="29"/>
      <c r="I31" s="125">
        <f>IFERROR(VLOOKUP($A31,'Balancete 2016'!$A:$D,4,0),"0")</f>
        <v>44904</v>
      </c>
      <c r="J31" s="6"/>
      <c r="K31" s="57"/>
      <c r="M31" s="87" t="str">
        <f>VLOOKUP(A31,'1 sem.15'!A:D,1,0)</f>
        <v>8.1.7.18.21.07</v>
      </c>
      <c r="N31" s="88" t="str">
        <f>VLOOKUP(A31,'1 sem.15'!A:D,3,0)</f>
        <v>DESP AUX ALIMENTACAO - DIRETORIA</v>
      </c>
      <c r="O31" s="88">
        <f>VLOOKUP(A31,'1 sem.15'!A:D,4,0)</f>
        <v>24075.84</v>
      </c>
      <c r="P31" s="7"/>
      <c r="Q31" s="6"/>
    </row>
    <row r="32" spans="1:17">
      <c r="A32" s="30" t="s">
        <v>439</v>
      </c>
      <c r="B32" s="29">
        <v>0</v>
      </c>
      <c r="C32" s="29" t="s">
        <v>440</v>
      </c>
      <c r="D32" s="71">
        <f>IFERROR(VLOOKUP($A32,'Balancete 2015'!$A:$D,4,0),"0")+O32</f>
        <v>150327.41</v>
      </c>
      <c r="E32" s="29"/>
      <c r="F32" s="29"/>
      <c r="G32" s="29"/>
      <c r="H32" s="29"/>
      <c r="I32" s="125">
        <f>IFERROR(VLOOKUP($A32,'Balancete 2016'!$A:$D,4,0),"0")</f>
        <v>37300.35</v>
      </c>
      <c r="J32" s="6"/>
      <c r="K32" s="57"/>
      <c r="M32" s="87" t="str">
        <f>VLOOKUP(A32,'1 sem.15'!A:D,1,0)</f>
        <v>8.1.7.18.21.10</v>
      </c>
      <c r="N32" s="88" t="str">
        <f>VLOOKUP(A32,'1 sem.15'!A:D,3,0)</f>
        <v>DESP DE PROV DE 13º SAL - DIRETORIA</v>
      </c>
      <c r="O32" s="88">
        <f>VLOOKUP(A32,'1 sem.15'!A:D,4,0)</f>
        <v>74052.91</v>
      </c>
      <c r="P32" s="7"/>
      <c r="Q32" s="6"/>
    </row>
    <row r="33" spans="1:17">
      <c r="A33" s="30" t="s">
        <v>441</v>
      </c>
      <c r="B33" s="29">
        <v>-9</v>
      </c>
      <c r="C33" s="29" t="s">
        <v>442</v>
      </c>
      <c r="D33" s="71">
        <f>IFERROR(VLOOKUP($A33,'Balancete 2015'!$A:$D,4,0),"0")+O33</f>
        <v>12026.189999999999</v>
      </c>
      <c r="E33" s="29"/>
      <c r="F33" s="29"/>
      <c r="G33" s="29"/>
      <c r="H33" s="29"/>
      <c r="I33" s="125">
        <f>IFERROR(VLOOKUP($A33,'Balancete 2016'!$A:$D,4,0),"0")</f>
        <v>9602.9599999999991</v>
      </c>
      <c r="J33" s="6"/>
      <c r="K33" s="57"/>
      <c r="M33" s="87" t="str">
        <f>VLOOKUP(A33,'1 sem.15'!A:D,1,0)</f>
        <v>8.1.7.18.21.11</v>
      </c>
      <c r="N33" s="88" t="str">
        <f>VLOOKUP(A33,'1 sem.15'!A:D,3,0)</f>
        <v>DESP DE FGTS S/13º SAL - DIRETORIA</v>
      </c>
      <c r="O33" s="88">
        <f>VLOOKUP(A33,'1 sem.15'!A:D,4,0)</f>
        <v>5924.23</v>
      </c>
      <c r="P33" s="7"/>
      <c r="Q33" s="6"/>
    </row>
    <row r="34" spans="1:17">
      <c r="A34" s="30" t="s">
        <v>443</v>
      </c>
      <c r="B34" s="29">
        <v>-7</v>
      </c>
      <c r="C34" s="29" t="s">
        <v>444</v>
      </c>
      <c r="D34" s="71">
        <f>IFERROR(VLOOKUP($A34,'Balancete 2015'!$A:$D,4,0),"0")+O34</f>
        <v>30065.48</v>
      </c>
      <c r="E34" s="29"/>
      <c r="F34" s="29"/>
      <c r="G34" s="29"/>
      <c r="H34" s="29"/>
      <c r="I34" s="125">
        <f>IFERROR(VLOOKUP($A34,'Balancete 2016'!$A:$D,4,0),"0")</f>
        <v>29683.919999999998</v>
      </c>
      <c r="J34" s="6"/>
      <c r="K34" s="57"/>
      <c r="M34" s="87" t="str">
        <f>VLOOKUP(A34,'1 sem.15'!A:D,1,0)</f>
        <v>8.1.7.18.21.12</v>
      </c>
      <c r="N34" s="88" t="str">
        <f>VLOOKUP(A34,'1 sem.15'!A:D,3,0)</f>
        <v>DESP C/ INSS - DIRETORIA</v>
      </c>
      <c r="O34" s="88">
        <f>VLOOKUP(A34,'1 sem.15'!A:D,4,0)</f>
        <v>14810.58</v>
      </c>
      <c r="P34" s="7"/>
      <c r="Q34" s="6"/>
    </row>
    <row r="35" spans="1:17">
      <c r="A35" s="30" t="s">
        <v>445</v>
      </c>
      <c r="B35" s="29">
        <v>-5</v>
      </c>
      <c r="C35" s="29" t="s">
        <v>446</v>
      </c>
      <c r="D35" s="71">
        <f>IFERROR(VLOOKUP($A35,'Balancete 2015'!$A:$D,4,0),"0")+O35</f>
        <v>18039.29</v>
      </c>
      <c r="E35" s="29"/>
      <c r="F35" s="29"/>
      <c r="G35" s="29"/>
      <c r="H35" s="29"/>
      <c r="I35" s="125">
        <f>IFERROR(VLOOKUP($A35,'Balancete 2016'!$A:$D,4,0),"0")</f>
        <v>10414.31</v>
      </c>
      <c r="J35" s="6"/>
      <c r="K35" s="57"/>
      <c r="M35" s="87" t="str">
        <f>VLOOKUP(A35,'1 sem.15'!A:D,1,0)</f>
        <v>8.1.7.18.21.13</v>
      </c>
      <c r="N35" s="88" t="str">
        <f>VLOOKUP(A35,'1 sem.15'!A:D,3,0)</f>
        <v>DESP C/ FUNCEF S/13ºSAL - DIRETORIA</v>
      </c>
      <c r="O35" s="88">
        <f>VLOOKUP(A35,'1 sem.15'!A:D,4,0)</f>
        <v>8886.35</v>
      </c>
      <c r="P35" s="7"/>
      <c r="Q35" s="6"/>
    </row>
    <row r="36" spans="1:17">
      <c r="A36" s="30" t="s">
        <v>69</v>
      </c>
      <c r="B36" s="29">
        <v>-3</v>
      </c>
      <c r="C36" s="29" t="s">
        <v>447</v>
      </c>
      <c r="D36" s="71">
        <f>IFERROR(VLOOKUP($A36,'Balancete 2015'!$A:$D,4,0),"0")+O36</f>
        <v>64783.659999999996</v>
      </c>
      <c r="E36" s="29"/>
      <c r="F36" s="29"/>
      <c r="G36" s="29"/>
      <c r="H36" s="29"/>
      <c r="I36" s="125">
        <f>IFERROR(VLOOKUP($A36,'Balancete 2016'!$A:$D,4,0),"0")</f>
        <v>30852.19</v>
      </c>
      <c r="J36" s="6"/>
      <c r="K36" s="57"/>
      <c r="M36" s="87" t="str">
        <f>VLOOKUP(A36,'1 sem.15'!A:D,1,0)</f>
        <v>8.1.7.18.21.14</v>
      </c>
      <c r="N36" s="88" t="str">
        <f>VLOOKUP(A36,'1 sem.15'!A:D,3,0)</f>
        <v>DESP DE PROV DE FERIAS - DIRETORIA</v>
      </c>
      <c r="O36" s="88">
        <f>VLOOKUP(A36,'1 sem.15'!A:D,4,0)</f>
        <v>30028.39</v>
      </c>
      <c r="P36" s="7"/>
      <c r="Q36" s="6"/>
    </row>
    <row r="37" spans="1:17">
      <c r="A37" s="30" t="s">
        <v>70</v>
      </c>
      <c r="B37" s="29">
        <v>-1</v>
      </c>
      <c r="C37" s="29" t="s">
        <v>448</v>
      </c>
      <c r="D37" s="71">
        <f>IFERROR(VLOOKUP($A37,'Balancete 2015'!$A:$D,4,0),"0")+O37</f>
        <v>34747.85</v>
      </c>
      <c r="E37" s="29"/>
      <c r="F37" s="29"/>
      <c r="G37" s="29"/>
      <c r="H37" s="29"/>
      <c r="I37" s="125">
        <f>IFERROR(VLOOKUP($A37,'Balancete 2016'!$A:$D,4,0),"0")</f>
        <v>64239.23</v>
      </c>
      <c r="J37" s="6"/>
      <c r="K37" s="57"/>
      <c r="M37" s="87" t="str">
        <f>VLOOKUP(A37,'1 sem.15'!A:D,1,0)</f>
        <v>8.1.7.18.21.15</v>
      </c>
      <c r="N37" s="88" t="str">
        <f>VLOOKUP(A37,'1 sem.15'!A:D,3,0)</f>
        <v>DESP C/ PROV LICENCA PREMIO - DIRETORIA</v>
      </c>
      <c r="O37" s="88">
        <f>VLOOKUP(A37,'1 sem.15'!A:D,4,0)</f>
        <v>34747.85</v>
      </c>
      <c r="P37" s="7"/>
      <c r="Q37" s="6"/>
    </row>
    <row r="38" spans="1:17">
      <c r="A38" s="30" t="s">
        <v>71</v>
      </c>
      <c r="B38" s="29">
        <v>0</v>
      </c>
      <c r="C38" s="29" t="s">
        <v>449</v>
      </c>
      <c r="D38" s="71">
        <f>IFERROR(VLOOKUP($A38,'Balancete 2015'!$A:$D,4,0),"0")+O38</f>
        <v>16076.470000000001</v>
      </c>
      <c r="E38" s="29"/>
      <c r="F38" s="29"/>
      <c r="G38" s="29"/>
      <c r="H38" s="29"/>
      <c r="I38" s="125">
        <f>IFERROR(VLOOKUP($A38,'Balancete 2016'!$A:$D,4,0),"0")</f>
        <v>22612.45</v>
      </c>
      <c r="J38" s="6"/>
      <c r="K38" s="57"/>
      <c r="M38" s="87" t="str">
        <f>VLOOKUP(A38,'1 sem.15'!A:D,1,0)</f>
        <v>8.1.7.18.21.16</v>
      </c>
      <c r="N38" s="88" t="str">
        <f>VLOOKUP(A38,'1 sem.15'!A:D,3,0)</f>
        <v>DESP C/ PROV DE APIP - DIRETORIA</v>
      </c>
      <c r="O38" s="88">
        <f>VLOOKUP(A38,'1 sem.15'!A:D,4,0)</f>
        <v>9652.18</v>
      </c>
      <c r="P38" s="7"/>
      <c r="Q38" s="6"/>
    </row>
    <row r="39" spans="1:17" s="93" customFormat="1">
      <c r="A39" s="84" t="s">
        <v>72</v>
      </c>
      <c r="B39" s="78">
        <v>-8</v>
      </c>
      <c r="C39" s="78" t="s">
        <v>73</v>
      </c>
      <c r="D39" s="125">
        <f>IFERROR(VLOOKUP($A39,'Balancete 2015'!$A:$D,4,0),"0")+O39</f>
        <v>109193.44</v>
      </c>
      <c r="E39" s="78">
        <v>400</v>
      </c>
      <c r="F39" s="78">
        <v>100</v>
      </c>
      <c r="G39" s="78">
        <v>700</v>
      </c>
      <c r="H39" s="78"/>
      <c r="I39" s="125">
        <f>IFERROR(VLOOKUP($A39,'Balancete 2016'!$A:$D,4,0),"0")</f>
        <v>107688.12</v>
      </c>
      <c r="J39" s="95"/>
      <c r="K39" s="57"/>
      <c r="M39" s="87" t="str">
        <f>VLOOKUP(A39,'1 sem.15'!A:D,1,0)</f>
        <v>8.1.7.21</v>
      </c>
      <c r="N39" s="161" t="str">
        <f>VLOOKUP(A39,'1 sem.15'!A:D,3,0)</f>
        <v>DESPESAS DE MANUTENCAO E CONSERVACAO DE BENS</v>
      </c>
      <c r="O39" s="161">
        <f>VLOOKUP(A39,'1 sem.15'!A:D,4,0)</f>
        <v>55158.82</v>
      </c>
      <c r="P39" s="100"/>
      <c r="Q39" s="95"/>
    </row>
    <row r="40" spans="1:17">
      <c r="A40" s="30" t="s">
        <v>74</v>
      </c>
      <c r="B40" s="29">
        <v>0</v>
      </c>
      <c r="C40" s="29" t="s">
        <v>75</v>
      </c>
      <c r="D40" s="71">
        <f>IFERROR(VLOOKUP($A40,'Balancete 2015'!$A:$D,4,0),"0")+O40</f>
        <v>109193.44</v>
      </c>
      <c r="E40" s="29"/>
      <c r="F40" s="29"/>
      <c r="G40" s="29"/>
      <c r="H40" s="29"/>
      <c r="I40" s="125">
        <f>IFERROR(VLOOKUP($A40,'Balancete 2016'!$A:$D,4,0),"0")</f>
        <v>107688.12</v>
      </c>
      <c r="J40" s="6"/>
      <c r="K40" s="57"/>
      <c r="M40" s="87" t="str">
        <f>VLOOKUP(A40,'1 sem.15'!A:D,1,0)</f>
        <v>8.1.7.21.11</v>
      </c>
      <c r="N40" s="88" t="str">
        <f>VLOOKUP(A40,'1 sem.15'!A:D,3,0)</f>
        <v>DESP DE MANUT E CONSERVACAO DE BENS - CAIXAPAR</v>
      </c>
      <c r="O40" s="88">
        <f>VLOOKUP(A40,'1 sem.15'!A:D,4,0)</f>
        <v>55158.82</v>
      </c>
      <c r="P40" s="7"/>
      <c r="Q40" s="6"/>
    </row>
    <row r="41" spans="1:17">
      <c r="A41" s="30" t="s">
        <v>76</v>
      </c>
      <c r="B41" s="29">
        <v>-8</v>
      </c>
      <c r="C41" s="29" t="s">
        <v>450</v>
      </c>
      <c r="D41" s="71">
        <f>IFERROR(VLOOKUP($A41,'Balancete 2015'!$A:$D,4,0),"0")+O41</f>
        <v>109193.44</v>
      </c>
      <c r="E41" s="29"/>
      <c r="F41" s="29"/>
      <c r="G41" s="29"/>
      <c r="H41" s="29"/>
      <c r="I41" s="125">
        <f>IFERROR(VLOOKUP($A41,'Balancete 2016'!$A:$D,4,0),"0")</f>
        <v>107688.12</v>
      </c>
      <c r="J41" s="6"/>
      <c r="K41" s="57"/>
      <c r="M41" s="87" t="str">
        <f>VLOOKUP(A41,'1 sem.15'!A:D,1,0)</f>
        <v>8.1.7.21.11.01</v>
      </c>
      <c r="N41" s="88" t="str">
        <f>VLOOKUP(A41,'1 sem.15'!A:D,3,0)</f>
        <v>DESP DE MANUT E CONSERV DE BENS/CAIXAPAR</v>
      </c>
      <c r="O41" s="88">
        <f>VLOOKUP(A41,'1 sem.15'!A:D,4,0)</f>
        <v>55158.82</v>
      </c>
      <c r="P41" s="7"/>
      <c r="Q41" s="6"/>
    </row>
    <row r="42" spans="1:17" s="93" customFormat="1">
      <c r="A42" s="84" t="s">
        <v>77</v>
      </c>
      <c r="B42" s="78">
        <v>-5</v>
      </c>
      <c r="C42" s="78" t="s">
        <v>78</v>
      </c>
      <c r="D42" s="125">
        <f>IFERROR(VLOOKUP($A42,'Balancete 2015'!$A:$D,4,0),"0")+O42</f>
        <v>562304.61</v>
      </c>
      <c r="E42" s="78">
        <v>400</v>
      </c>
      <c r="F42" s="78"/>
      <c r="G42" s="78">
        <v>100</v>
      </c>
      <c r="H42" s="78"/>
      <c r="I42" s="125">
        <f>IFERROR(VLOOKUP($A42,'Balancete 2016'!$A:$D,4,0),"0")</f>
        <v>887727</v>
      </c>
      <c r="J42" s="95"/>
      <c r="K42" s="57"/>
      <c r="M42" s="87" t="str">
        <f>VLOOKUP(A42,'1 sem.15'!A:D,1,0)</f>
        <v>8.1.7.27</v>
      </c>
      <c r="N42" s="161" t="str">
        <f>VLOOKUP(A42,'1 sem.15'!A:D,3,0)</f>
        <v>DESPESAS DE PESSOAL - BENEFICIOS</v>
      </c>
      <c r="O42" s="161">
        <f>VLOOKUP(A42,'1 sem.15'!A:D,4,0)</f>
        <v>150242.76</v>
      </c>
      <c r="P42" s="100"/>
      <c r="Q42" s="95"/>
    </row>
    <row r="43" spans="1:17">
      <c r="A43" s="30" t="s">
        <v>79</v>
      </c>
      <c r="B43" s="29">
        <v>-3</v>
      </c>
      <c r="C43" s="29" t="s">
        <v>451</v>
      </c>
      <c r="D43" s="71">
        <f>IFERROR(VLOOKUP($A43,'Balancete 2015'!$A:$D,4,0),"0")+O43</f>
        <v>562304.61</v>
      </c>
      <c r="E43" s="29"/>
      <c r="F43" s="29"/>
      <c r="G43" s="29"/>
      <c r="H43" s="29"/>
      <c r="I43" s="125">
        <f>IFERROR(VLOOKUP($A43,'Balancete 2016'!$A:$D,4,0),"0")</f>
        <v>887727</v>
      </c>
      <c r="J43" s="6"/>
      <c r="K43" s="57"/>
      <c r="M43" s="87" t="str">
        <f>VLOOKUP(A43,'1 sem.15'!A:D,1,0)</f>
        <v>8.1.7.27.12</v>
      </c>
      <c r="N43" s="88" t="str">
        <f>VLOOKUP(A43,'1 sem.15'!A:D,3,0)</f>
        <v>DESPESAS DE PESSOAL - BENEFICIOS/CAIXAPAR</v>
      </c>
      <c r="O43" s="88">
        <f>VLOOKUP(A43,'1 sem.15'!A:D,4,0)</f>
        <v>150242.76</v>
      </c>
      <c r="P43" s="7"/>
      <c r="Q43" s="6"/>
    </row>
    <row r="44" spans="1:17">
      <c r="A44" s="30" t="s">
        <v>80</v>
      </c>
      <c r="B44" s="29">
        <v>-1</v>
      </c>
      <c r="C44" s="29" t="s">
        <v>452</v>
      </c>
      <c r="D44" s="71">
        <f>IFERROR(VLOOKUP($A44,'Balancete 2015'!$A:$D,4,0),"0")+O44</f>
        <v>28745.3</v>
      </c>
      <c r="E44" s="29"/>
      <c r="F44" s="29"/>
      <c r="G44" s="29"/>
      <c r="H44" s="29"/>
      <c r="I44" s="125">
        <f>IFERROR(VLOOKUP($A44,'Balancete 2016'!$A:$D,4,0),"0")</f>
        <v>19250.259999999998</v>
      </c>
      <c r="J44" s="6"/>
      <c r="K44" s="57"/>
      <c r="M44" s="87" t="str">
        <f>VLOOKUP(A44,'1 sem.15'!A:D,1,0)</f>
        <v>8.1.7.27.12.01</v>
      </c>
      <c r="N44" s="88" t="str">
        <f>VLOOKUP(A44,'1 sem.15'!A:D,3,0)</f>
        <v>DESP DE PESSOAL - PROG ASSIST A INFAN/CAIXAPAR</v>
      </c>
      <c r="O44" s="88">
        <f>VLOOKUP(A44,'1 sem.15'!A:D,4,0)</f>
        <v>17825.64</v>
      </c>
      <c r="P44" s="7"/>
      <c r="Q44" s="6"/>
    </row>
    <row r="45" spans="1:17">
      <c r="A45" s="30" t="s">
        <v>81</v>
      </c>
      <c r="B45" s="29">
        <v>-8</v>
      </c>
      <c r="C45" s="29" t="s">
        <v>453</v>
      </c>
      <c r="D45" s="71">
        <f>IFERROR(VLOOKUP($A45,'Balancete 2015'!$A:$D,4,0),"0")+O45</f>
        <v>250669.52</v>
      </c>
      <c r="E45" s="29"/>
      <c r="F45" s="29"/>
      <c r="G45" s="29"/>
      <c r="H45" s="29"/>
      <c r="I45" s="125">
        <f>IFERROR(VLOOKUP($A45,'Balancete 2016'!$A:$D,4,0),"0")</f>
        <v>259438</v>
      </c>
      <c r="J45" s="6"/>
      <c r="K45" s="57"/>
      <c r="M45" s="87" t="str">
        <f>VLOOKUP(A45,'1 sem.15'!A:D,1,0)</f>
        <v>8.1.7.27.12.03</v>
      </c>
      <c r="N45" s="88" t="str">
        <f>VLOOKUP(A45,'1 sem.15'!A:D,3,0)</f>
        <v>DESP DE PESSOAL - AUX ALIMENTACAO/CAIXAPAR</v>
      </c>
      <c r="O45" s="88">
        <f>VLOOKUP(A45,'1 sem.15'!A:D,4,0)</f>
        <v>132417.12</v>
      </c>
      <c r="P45" s="7"/>
      <c r="Q45" s="6"/>
    </row>
    <row r="46" spans="1:17">
      <c r="A46" t="s">
        <v>1043</v>
      </c>
      <c r="B46">
        <v>0</v>
      </c>
      <c r="C46" t="s">
        <v>1044</v>
      </c>
      <c r="D46" s="71"/>
      <c r="E46" s="29"/>
      <c r="F46" s="29"/>
      <c r="G46" s="29"/>
      <c r="H46" s="29"/>
      <c r="I46" s="125">
        <f>IFERROR(VLOOKUP($A46,'Balancete 2016'!$A:$D,4,0),"0")</f>
        <v>1191.45</v>
      </c>
      <c r="J46" s="6"/>
      <c r="K46" s="57"/>
      <c r="M46" s="87"/>
      <c r="N46" s="88"/>
      <c r="O46" s="88"/>
      <c r="P46" s="7"/>
      <c r="Q46" s="6"/>
    </row>
    <row r="47" spans="1:17">
      <c r="A47" s="56" t="s">
        <v>899</v>
      </c>
      <c r="B47" s="29">
        <v>9</v>
      </c>
      <c r="C47" s="75" t="s">
        <v>900</v>
      </c>
      <c r="D47" s="71">
        <f>IFERROR(VLOOKUP($A47,'Balancete 2015'!$A:$D,4,0),"0")+O47</f>
        <v>282889.78999999998</v>
      </c>
      <c r="E47" s="29"/>
      <c r="F47" s="29"/>
      <c r="G47" s="29"/>
      <c r="H47" s="29"/>
      <c r="I47" s="125">
        <f>IFERROR(VLOOKUP($A47,'Balancete 2016'!$A:$D,4,0),"0")</f>
        <v>607847.29</v>
      </c>
      <c r="J47" s="6"/>
      <c r="K47" s="57"/>
      <c r="M47" s="87" t="str">
        <f>+A47</f>
        <v>8.1.7.27.12.08</v>
      </c>
      <c r="N47" s="88" t="str">
        <f>+C47</f>
        <v>DESP DE PESSOAL - PLR</v>
      </c>
      <c r="O47" s="88">
        <v>0</v>
      </c>
      <c r="P47" s="7"/>
      <c r="Q47" s="6"/>
    </row>
    <row r="48" spans="1:17" s="93" customFormat="1">
      <c r="A48" s="84" t="s">
        <v>82</v>
      </c>
      <c r="B48" s="78">
        <v>-7</v>
      </c>
      <c r="C48" s="78" t="s">
        <v>83</v>
      </c>
      <c r="D48" s="125">
        <f>IFERROR(VLOOKUP($A48,'Balancete 2015'!$A:$D,4,0),"0")+O48</f>
        <v>1833577.76</v>
      </c>
      <c r="E48" s="78">
        <v>400</v>
      </c>
      <c r="F48" s="78"/>
      <c r="G48" s="78"/>
      <c r="H48" s="78"/>
      <c r="I48" s="125">
        <f>IFERROR(VLOOKUP($A48,'Balancete 2016'!$A:$D,4,0),"0")</f>
        <v>1905683.21</v>
      </c>
      <c r="J48" s="95"/>
      <c r="K48" s="57"/>
      <c r="M48" s="87" t="str">
        <f>VLOOKUP(A48,'1 sem.15'!A:D,1,0)</f>
        <v>8.1.7.30</v>
      </c>
      <c r="N48" s="161" t="str">
        <f>VLOOKUP(A48,'1 sem.15'!A:D,3,0)</f>
        <v>DESPESAS DE PESSOAL - ENCARGOS SOCIAIS</v>
      </c>
      <c r="O48" s="161">
        <f>VLOOKUP(A48,'1 sem.15'!A:D,4,0)</f>
        <v>865993.56</v>
      </c>
      <c r="P48" s="100"/>
      <c r="Q48" s="95"/>
    </row>
    <row r="49" spans="1:17">
      <c r="A49" s="30" t="s">
        <v>84</v>
      </c>
      <c r="B49" s="29">
        <v>-5</v>
      </c>
      <c r="C49" s="29" t="s">
        <v>456</v>
      </c>
      <c r="D49" s="71">
        <f>IFERROR(VLOOKUP($A49,'Balancete 2015'!$A:$D,4,0),"0")+O49</f>
        <v>298734.84999999998</v>
      </c>
      <c r="E49" s="29"/>
      <c r="F49" s="29"/>
      <c r="G49" s="29">
        <v>200</v>
      </c>
      <c r="H49" s="29"/>
      <c r="I49" s="125">
        <f>IFERROR(VLOOKUP($A49,'Balancete 2016'!$A:$D,4,0),"0")</f>
        <v>306301.55</v>
      </c>
      <c r="J49" s="6"/>
      <c r="K49" s="57"/>
      <c r="M49" s="87" t="str">
        <f>VLOOKUP(A49,'1 sem.15'!A:D,1,0)</f>
        <v>8.1.7.30.12</v>
      </c>
      <c r="N49" s="88" t="str">
        <f>VLOOKUP(A49,'1 sem.15'!A:D,3,0)</f>
        <v>DESP DE PESSOAL ENC SOCIAIS - FGTS/CAIXAPAR</v>
      </c>
      <c r="O49" s="88">
        <f>VLOOKUP(A49,'1 sem.15'!A:D,4,0)</f>
        <v>147656.46</v>
      </c>
      <c r="P49" s="7"/>
      <c r="Q49" s="6"/>
    </row>
    <row r="50" spans="1:17">
      <c r="A50" s="30" t="s">
        <v>85</v>
      </c>
      <c r="B50" s="29">
        <v>-3</v>
      </c>
      <c r="C50" s="29" t="s">
        <v>457</v>
      </c>
      <c r="D50" s="71">
        <f>IFERROR(VLOOKUP($A50,'Balancete 2015'!$A:$D,4,0),"0")+O50</f>
        <v>277228.59999999998</v>
      </c>
      <c r="E50" s="29"/>
      <c r="F50" s="29"/>
      <c r="G50" s="29"/>
      <c r="H50" s="29"/>
      <c r="I50" s="125">
        <f>IFERROR(VLOOKUP($A50,'Balancete 2016'!$A:$D,4,0),"0")</f>
        <v>286562.59000000003</v>
      </c>
      <c r="J50" s="6"/>
      <c r="K50" s="57"/>
      <c r="M50" s="87" t="str">
        <f>VLOOKUP(A50,'1 sem.15'!A:D,1,0)</f>
        <v>8.1.7.30.12.01</v>
      </c>
      <c r="N50" s="88" t="str">
        <f>VLOOKUP(A50,'1 sem.15'!A:D,3,0)</f>
        <v>DESP DE ENC SOCIAIS - FGTS/CAIXAPAR</v>
      </c>
      <c r="O50" s="88">
        <f>VLOOKUP(A50,'1 sem.15'!A:D,4,0)</f>
        <v>136958.03</v>
      </c>
      <c r="P50" s="7"/>
      <c r="Q50" s="6"/>
    </row>
    <row r="51" spans="1:17">
      <c r="A51" s="30" t="s">
        <v>86</v>
      </c>
      <c r="B51" s="29">
        <v>-1</v>
      </c>
      <c r="C51" s="29" t="s">
        <v>458</v>
      </c>
      <c r="D51" s="71">
        <f>IFERROR(VLOOKUP($A51,'Balancete 2015'!$A:$D,4,0),"0")+O51</f>
        <v>21506.25</v>
      </c>
      <c r="E51" s="29"/>
      <c r="F51" s="29"/>
      <c r="G51" s="29"/>
      <c r="H51" s="29"/>
      <c r="I51" s="125">
        <f>IFERROR(VLOOKUP($A51,'Balancete 2016'!$A:$D,4,0),"0")</f>
        <v>19738.96</v>
      </c>
      <c r="J51" s="6"/>
      <c r="K51" s="57"/>
      <c r="M51" s="87" t="str">
        <f>VLOOKUP(A51,'1 sem.15'!A:D,1,0)</f>
        <v>8.1.7.30.12.02</v>
      </c>
      <c r="N51" s="88" t="str">
        <f>VLOOKUP(A51,'1 sem.15'!A:D,3,0)</f>
        <v>DESP DE ENC SOCIAIS - FGTS S/ 13º SAL/CAIXAPAR</v>
      </c>
      <c r="O51" s="88">
        <f>VLOOKUP(A51,'1 sem.15'!A:D,4,0)</f>
        <v>10698.43</v>
      </c>
      <c r="P51" s="7"/>
      <c r="Q51" s="6"/>
    </row>
    <row r="52" spans="1:17">
      <c r="A52" s="30" t="s">
        <v>87</v>
      </c>
      <c r="B52" s="29">
        <v>-7</v>
      </c>
      <c r="C52" s="29" t="s">
        <v>459</v>
      </c>
      <c r="D52" s="71">
        <f>IFERROR(VLOOKUP($A52,'Balancete 2015'!$A:$D,4,0),"0")+O52</f>
        <v>987051.37</v>
      </c>
      <c r="E52" s="29"/>
      <c r="F52" s="29"/>
      <c r="G52" s="29">
        <v>300</v>
      </c>
      <c r="H52" s="29"/>
      <c r="I52" s="125">
        <f>IFERROR(VLOOKUP($A52,'Balancete 2016'!$A:$D,4,0),"0")</f>
        <v>1013678.03</v>
      </c>
      <c r="J52" s="6"/>
      <c r="K52" s="57"/>
      <c r="M52" s="87" t="str">
        <f>VLOOKUP(A52,'1 sem.15'!A:D,1,0)</f>
        <v>8.1.7.30.52</v>
      </c>
      <c r="N52" s="88" t="str">
        <f>VLOOKUP(A52,'1 sem.15'!A:D,3,0)</f>
        <v>DESP DE ENC SOCIAIS - PREVI SOCIAL/CAIXAPAR</v>
      </c>
      <c r="O52" s="88">
        <f>VLOOKUP(A52,'1 sem.15'!A:D,4,0)</f>
        <v>483736.83</v>
      </c>
      <c r="P52" s="7"/>
      <c r="Q52" s="6"/>
    </row>
    <row r="53" spans="1:17">
      <c r="A53" s="30" t="s">
        <v>88</v>
      </c>
      <c r="B53" s="29">
        <v>-5</v>
      </c>
      <c r="C53" s="29" t="s">
        <v>460</v>
      </c>
      <c r="D53" s="71">
        <f>IFERROR(VLOOKUP($A53,'Balancete 2015'!$A:$D,4,0),"0")+O53</f>
        <v>987051.37</v>
      </c>
      <c r="E53" s="29"/>
      <c r="F53" s="29"/>
      <c r="G53" s="29"/>
      <c r="H53" s="29"/>
      <c r="I53" s="125">
        <f>IFERROR(VLOOKUP($A53,'Balancete 2016'!$A:$D,4,0),"0")</f>
        <v>1013678.03</v>
      </c>
      <c r="J53" s="6"/>
      <c r="K53" s="57"/>
      <c r="M53" s="87" t="str">
        <f>VLOOKUP(A53,'1 sem.15'!A:D,1,0)</f>
        <v>8.1.7.30.52.01</v>
      </c>
      <c r="N53" s="88" t="str">
        <f>VLOOKUP(A53,'1 sem.15'!A:D,3,0)</f>
        <v>DESP DE ENC SOCIAIS - INSS/CAIXAPAR</v>
      </c>
      <c r="O53" s="88">
        <f>VLOOKUP(A53,'1 sem.15'!A:D,4,0)</f>
        <v>483736.83</v>
      </c>
      <c r="P53" s="7"/>
      <c r="Q53" s="6"/>
    </row>
    <row r="54" spans="1:17">
      <c r="A54" s="30" t="s">
        <v>89</v>
      </c>
      <c r="B54" s="29">
        <v>-2</v>
      </c>
      <c r="C54" s="29" t="s">
        <v>461</v>
      </c>
      <c r="D54" s="71">
        <f>IFERROR(VLOOKUP($A54,'Balancete 2015'!$A:$D,4,0),"0")+O54</f>
        <v>411345.47</v>
      </c>
      <c r="E54" s="29"/>
      <c r="F54" s="29"/>
      <c r="G54" s="29">
        <v>400</v>
      </c>
      <c r="H54" s="29"/>
      <c r="I54" s="125">
        <f>IFERROR(VLOOKUP($A54,'Balancete 2016'!$A:$D,4,0),"0")</f>
        <v>428604.79</v>
      </c>
      <c r="J54" s="6"/>
      <c r="K54" s="57"/>
      <c r="M54" s="87" t="str">
        <f>VLOOKUP(A54,'1 sem.15'!A:D,1,0)</f>
        <v>8.1.7.30.62</v>
      </c>
      <c r="N54" s="88" t="str">
        <f>VLOOKUP(A54,'1 sem.15'!A:D,3,0)</f>
        <v>DESP DE ENC SOCIAIS - PREVI COMPLEMENT/CAIXAPAR</v>
      </c>
      <c r="O54" s="88">
        <f>VLOOKUP(A54,'1 sem.15'!A:D,4,0)</f>
        <v>175719.17</v>
      </c>
      <c r="P54" s="7"/>
      <c r="Q54" s="6"/>
    </row>
    <row r="55" spans="1:17">
      <c r="A55" s="56" t="s">
        <v>638</v>
      </c>
      <c r="B55" s="29">
        <v>0</v>
      </c>
      <c r="C55" s="59" t="s">
        <v>639</v>
      </c>
      <c r="D55" s="71">
        <f>IFERROR(VLOOKUP($A55,'Balancete 2015'!$A:$D,4,0),"0")+O55</f>
        <v>365165.29</v>
      </c>
      <c r="E55" s="29"/>
      <c r="F55" s="29"/>
      <c r="G55" s="29"/>
      <c r="H55" s="29"/>
      <c r="I55" s="125">
        <f>IFERROR(VLOOKUP($A55,'Balancete 2016'!$A:$D,4,0),"0")</f>
        <v>404796.91</v>
      </c>
      <c r="J55" s="6"/>
      <c r="K55" s="57"/>
      <c r="M55" s="87" t="str">
        <f>VLOOKUP(A55,'1 sem.15'!A:D,1,0)</f>
        <v>8.1.7.30.62.01</v>
      </c>
      <c r="N55" s="88" t="str">
        <f>VLOOKUP(A55,'1 sem.15'!A:D,3,0)</f>
        <v>DESP DE ENC SOCIAIS - FUNCEF/CAIXAPAR</v>
      </c>
      <c r="O55" s="88">
        <f>VLOOKUP(A55,'1 sem.15'!A:D,4,0)</f>
        <v>164244.24</v>
      </c>
      <c r="P55" s="7"/>
      <c r="Q55" s="6"/>
    </row>
    <row r="56" spans="1:17">
      <c r="A56" s="30" t="s">
        <v>90</v>
      </c>
      <c r="B56" s="29">
        <v>-9</v>
      </c>
      <c r="C56" s="29" t="s">
        <v>462</v>
      </c>
      <c r="D56" s="71">
        <f>IFERROR(VLOOKUP($A56,'Balancete 2015'!$A:$D,4,0),"0")+O56</f>
        <v>46180.18</v>
      </c>
      <c r="E56" s="29"/>
      <c r="F56" s="29"/>
      <c r="G56" s="29"/>
      <c r="H56" s="29"/>
      <c r="I56" s="125">
        <f>IFERROR(VLOOKUP($A56,'Balancete 2016'!$A:$D,4,0),"0")</f>
        <v>23807.88</v>
      </c>
      <c r="J56" s="6"/>
      <c r="K56" s="57"/>
      <c r="M56" s="87" t="str">
        <f>VLOOKUP(A56,'1 sem.15'!A:D,1,0)</f>
        <v>8.1.7.30.62.02</v>
      </c>
      <c r="N56" s="88" t="str">
        <f>VLOOKUP(A56,'1 sem.15'!A:D,3,0)</f>
        <v>DESP DE ENC SOCIAIS - FUNCEF S/13º SAL/CAIXAPAR</v>
      </c>
      <c r="O56" s="88">
        <f>VLOOKUP(A56,'1 sem.15'!A:D,4,0)</f>
        <v>11474.93</v>
      </c>
      <c r="P56" s="7"/>
      <c r="Q56" s="6"/>
    </row>
    <row r="57" spans="1:17">
      <c r="A57" s="30" t="s">
        <v>91</v>
      </c>
      <c r="B57" s="29">
        <v>0</v>
      </c>
      <c r="C57" s="29" t="s">
        <v>463</v>
      </c>
      <c r="D57" s="71">
        <f>IFERROR(VLOOKUP($A57,'Balancete 2015'!$A:$D,4,0),"0")+O57</f>
        <v>136446.07</v>
      </c>
      <c r="E57" s="29"/>
      <c r="F57" s="29"/>
      <c r="G57" s="29">
        <v>500</v>
      </c>
      <c r="H57" s="29"/>
      <c r="I57" s="125">
        <f>IFERROR(VLOOKUP($A57,'Balancete 2016'!$A:$D,4,0),"0")</f>
        <v>157098.84</v>
      </c>
      <c r="J57" s="6"/>
      <c r="K57" s="57"/>
      <c r="M57" s="87" t="str">
        <f>VLOOKUP(A57,'1 sem.15'!A:D,1,0)</f>
        <v>8.1.7.30.97</v>
      </c>
      <c r="N57" s="88" t="str">
        <f>VLOOKUP(A57,'1 sem.15'!A:D,3,0)</f>
        <v>DESP DE ENC SOCIAIS - OUTROS/CAIXAPAR</v>
      </c>
      <c r="O57" s="88">
        <f>VLOOKUP(A57,'1 sem.15'!A:D,4,0)</f>
        <v>58881.1</v>
      </c>
      <c r="P57" s="7"/>
      <c r="Q57" s="6"/>
    </row>
    <row r="58" spans="1:17">
      <c r="A58" s="30" t="s">
        <v>92</v>
      </c>
      <c r="B58" s="29">
        <v>-9</v>
      </c>
      <c r="C58" s="29" t="s">
        <v>464</v>
      </c>
      <c r="D58" s="71">
        <f>IFERROR(VLOOKUP($A58,'Balancete 2015'!$A:$D,4,0),"0")+O58</f>
        <v>136446.07</v>
      </c>
      <c r="E58" s="29"/>
      <c r="F58" s="29"/>
      <c r="G58" s="29"/>
      <c r="H58" s="29"/>
      <c r="I58" s="125">
        <f>IFERROR(VLOOKUP($A58,'Balancete 2016'!$A:$D,4,0),"0")</f>
        <v>157098.84</v>
      </c>
      <c r="J58" s="6"/>
      <c r="K58" s="57"/>
      <c r="M58" s="87" t="str">
        <f>VLOOKUP(A58,'1 sem.15'!A:D,1,0)</f>
        <v>8.1.7.30.97.01</v>
      </c>
      <c r="N58" s="88" t="str">
        <f>VLOOKUP(A58,'1 sem.15'!A:D,3,0)</f>
        <v>DESP DE ENC SOCIAIS - SAL EDUCACAO/CAIXAPAR</v>
      </c>
      <c r="O58" s="88">
        <f>VLOOKUP(A58,'1 sem.15'!A:D,4,0)</f>
        <v>58881.1</v>
      </c>
      <c r="P58" s="7"/>
      <c r="Q58" s="6"/>
    </row>
    <row r="59" spans="1:17" s="93" customFormat="1">
      <c r="A59" s="84" t="s">
        <v>93</v>
      </c>
      <c r="B59" s="78">
        <v>0</v>
      </c>
      <c r="C59" s="78" t="s">
        <v>94</v>
      </c>
      <c r="D59" s="125">
        <f>IFERROR(VLOOKUP($A59,'Balancete 2015'!$A:$D,4,0),"0")+O59</f>
        <v>4276112.17</v>
      </c>
      <c r="E59" s="78">
        <v>400</v>
      </c>
      <c r="F59" s="78"/>
      <c r="G59" s="78">
        <v>100</v>
      </c>
      <c r="H59" s="78"/>
      <c r="I59" s="125">
        <f>IFERROR(VLOOKUP($A59,'Balancete 2016'!$A:$D,4,0),"0")</f>
        <v>3924615.52</v>
      </c>
      <c r="J59" s="95"/>
      <c r="K59" s="57"/>
      <c r="M59" s="87" t="str">
        <f>VLOOKUP(A59,'1 sem.15'!A:D,1,0)</f>
        <v>8.1.7.33</v>
      </c>
      <c r="N59" s="161" t="str">
        <f>VLOOKUP(A59,'1 sem.15'!A:D,3,0)</f>
        <v>DESPESAS DE PESSOAL - PROVENTOS</v>
      </c>
      <c r="O59" s="161">
        <f>VLOOKUP(A59,'1 sem.15'!A:D,4,0)</f>
        <v>2104059.1</v>
      </c>
      <c r="P59" s="100"/>
      <c r="Q59" s="95"/>
    </row>
    <row r="60" spans="1:17">
      <c r="A60" s="30" t="s">
        <v>95</v>
      </c>
      <c r="B60" s="29">
        <v>-2</v>
      </c>
      <c r="C60" s="29" t="s">
        <v>465</v>
      </c>
      <c r="D60" s="71">
        <f>IFERROR(VLOOKUP($A60,'Balancete 2015'!$A:$D,4,0),"0")+O60</f>
        <v>4276112.17</v>
      </c>
      <c r="E60" s="29"/>
      <c r="F60" s="29"/>
      <c r="G60" s="29"/>
      <c r="H60" s="29"/>
      <c r="I60" s="125">
        <f>IFERROR(VLOOKUP($A60,'Balancete 2016'!$A:$D,4,0),"0")</f>
        <v>3924615.52</v>
      </c>
      <c r="J60" s="6"/>
      <c r="K60" s="57"/>
      <c r="M60" s="87" t="str">
        <f>VLOOKUP(A60,'1 sem.15'!A:D,1,0)</f>
        <v>8.1.7.33.11</v>
      </c>
      <c r="N60" s="88" t="str">
        <f>VLOOKUP(A60,'1 sem.15'!A:D,3,0)</f>
        <v>DESPESAS DE PESSOAL - PROVENTOS/CAIXAPAR</v>
      </c>
      <c r="O60" s="88">
        <f>VLOOKUP(A60,'1 sem.15'!A:D,4,0)</f>
        <v>2104059.1</v>
      </c>
      <c r="P60" s="7"/>
      <c r="Q60" s="6"/>
    </row>
    <row r="61" spans="1:17">
      <c r="A61" s="30" t="s">
        <v>96</v>
      </c>
      <c r="B61" s="29">
        <v>0</v>
      </c>
      <c r="C61" s="29" t="s">
        <v>466</v>
      </c>
      <c r="D61" s="71">
        <f>IFERROR(VLOOKUP($A61,'Balancete 2015'!$A:$D,4,0),"0")+O61</f>
        <v>1046076.8400000001</v>
      </c>
      <c r="E61" s="29"/>
      <c r="F61" s="29"/>
      <c r="G61" s="29"/>
      <c r="H61" s="29"/>
      <c r="I61" s="125">
        <f>IFERROR(VLOOKUP($A61,'Balancete 2016'!$A:$D,4,0),"0")</f>
        <v>1074100</v>
      </c>
      <c r="J61" s="6"/>
      <c r="K61" s="57"/>
      <c r="M61" s="87" t="str">
        <f>VLOOKUP(A61,'1 sem.15'!A:D,1,0)</f>
        <v>8.1.7.33.11.01</v>
      </c>
      <c r="N61" s="88" t="str">
        <f>VLOOKUP(A61,'1 sem.15'!A:D,3,0)</f>
        <v>DESP DE PESSOAL - SAL PADRAO/CAIXAPAR</v>
      </c>
      <c r="O61" s="88">
        <f>VLOOKUP(A61,'1 sem.15'!A:D,4,0)</f>
        <v>522579.44</v>
      </c>
      <c r="P61" s="7"/>
      <c r="Q61" s="6"/>
    </row>
    <row r="62" spans="1:17">
      <c r="A62" s="30" t="s">
        <v>97</v>
      </c>
      <c r="B62" s="29">
        <v>-9</v>
      </c>
      <c r="C62" s="29" t="s">
        <v>467</v>
      </c>
      <c r="D62" s="71">
        <f>IFERROR(VLOOKUP($A62,'Balancete 2015'!$A:$D,4,0),"0")+O62</f>
        <v>1427564.0699999998</v>
      </c>
      <c r="E62" s="29"/>
      <c r="F62" s="29"/>
      <c r="G62" s="29"/>
      <c r="H62" s="29"/>
      <c r="I62" s="125">
        <f>IFERROR(VLOOKUP($A62,'Balancete 2016'!$A:$D,4,0),"0")</f>
        <v>1424834.65</v>
      </c>
      <c r="J62" s="6"/>
      <c r="K62" s="57"/>
      <c r="M62" s="87" t="str">
        <f>VLOOKUP(A62,'1 sem.15'!A:D,1,0)</f>
        <v>8.1.7.33.11.02</v>
      </c>
      <c r="N62" s="88" t="str">
        <f>VLOOKUP(A62,'1 sem.15'!A:D,3,0)</f>
        <v>DESP DE PESSOAL - FUNCAO DE CONFIANCA/CAIXAPAR</v>
      </c>
      <c r="O62" s="88">
        <f>VLOOKUP(A62,'1 sem.15'!A:D,4,0)</f>
        <v>699166.62</v>
      </c>
      <c r="P62" s="7"/>
      <c r="Q62" s="6"/>
    </row>
    <row r="63" spans="1:17">
      <c r="A63" s="30" t="s">
        <v>98</v>
      </c>
      <c r="B63" s="29">
        <v>-7</v>
      </c>
      <c r="C63" s="29" t="s">
        <v>468</v>
      </c>
      <c r="D63" s="71">
        <f>IFERROR(VLOOKUP($A63,'Balancete 2015'!$A:$D,4,0),"0")+O63</f>
        <v>63551.360000000001</v>
      </c>
      <c r="E63" s="29"/>
      <c r="F63" s="29"/>
      <c r="G63" s="29"/>
      <c r="H63" s="29"/>
      <c r="I63" s="125">
        <f>IFERROR(VLOOKUP($A63,'Balancete 2016'!$A:$D,4,0),"0")</f>
        <v>42742.81</v>
      </c>
      <c r="J63" s="6"/>
      <c r="K63" s="57"/>
      <c r="M63" s="87" t="str">
        <f>VLOOKUP(A63,'1 sem.15'!A:D,1,0)</f>
        <v>8.1.7.33.11.03</v>
      </c>
      <c r="N63" s="88" t="str">
        <f>VLOOKUP(A63,'1 sem.15'!A:D,3,0)</f>
        <v>DESP DE PESSOAL - HORA EXTRA/CAIXAPAR</v>
      </c>
      <c r="O63" s="88">
        <f>VLOOKUP(A63,'1 sem.15'!A:D,4,0)</f>
        <v>47937.13</v>
      </c>
      <c r="P63" s="7"/>
      <c r="Q63" s="6"/>
    </row>
    <row r="64" spans="1:17">
      <c r="A64" s="30" t="s">
        <v>99</v>
      </c>
      <c r="B64" s="29">
        <v>-5</v>
      </c>
      <c r="C64" s="29" t="s">
        <v>469</v>
      </c>
      <c r="D64" s="71">
        <f>IFERROR(VLOOKUP($A64,'Balancete 2015'!$A:$D,4,0),"0")+O64</f>
        <v>72231.92</v>
      </c>
      <c r="E64" s="29"/>
      <c r="F64" s="29"/>
      <c r="G64" s="29"/>
      <c r="H64" s="29"/>
      <c r="I64" s="125">
        <f>IFERROR(VLOOKUP($A64,'Balancete 2016'!$A:$D,4,0),"0")</f>
        <v>69735.78</v>
      </c>
      <c r="J64" s="6"/>
      <c r="K64" s="57"/>
      <c r="M64" s="87" t="str">
        <f>VLOOKUP(A64,'1 sem.15'!A:D,1,0)</f>
        <v>8.1.7.33.11.04</v>
      </c>
      <c r="N64" s="88" t="str">
        <f>VLOOKUP(A64,'1 sem.15'!A:D,3,0)</f>
        <v>DESP DE PESSOAL - ADIC TEMPO DE SERV/CAIXAPAR</v>
      </c>
      <c r="O64" s="88">
        <f>VLOOKUP(A64,'1 sem.15'!A:D,4,0)</f>
        <v>36693.57</v>
      </c>
      <c r="P64" s="7"/>
      <c r="Q64" s="6"/>
    </row>
    <row r="65" spans="1:17">
      <c r="A65" s="30" t="s">
        <v>100</v>
      </c>
      <c r="B65" s="29">
        <v>-1</v>
      </c>
      <c r="C65" s="29" t="s">
        <v>470</v>
      </c>
      <c r="D65" s="71">
        <f>IFERROR(VLOOKUP($A65,'Balancete 2015'!$A:$D,4,0),"0")+O65</f>
        <v>809615.87</v>
      </c>
      <c r="E65" s="29"/>
      <c r="F65" s="29"/>
      <c r="G65" s="29"/>
      <c r="H65" s="29"/>
      <c r="I65" s="125">
        <f>IFERROR(VLOOKUP($A65,'Balancete 2016'!$A:$D,4,0),"0")</f>
        <v>820586.71</v>
      </c>
      <c r="J65" s="6"/>
      <c r="K65" s="57"/>
      <c r="M65" s="87" t="str">
        <f>VLOOKUP(A65,'1 sem.15'!A:D,1,0)</f>
        <v>8.1.7.33.11.06</v>
      </c>
      <c r="N65" s="88" t="str">
        <f>VLOOKUP(A65,'1 sem.15'!A:D,3,0)</f>
        <v>DESP DE PESSOAL - CTVA/CAIXAPAR</v>
      </c>
      <c r="O65" s="88">
        <f>VLOOKUP(A65,'1 sem.15'!A:D,4,0)</f>
        <v>393825.44</v>
      </c>
      <c r="P65" s="7"/>
      <c r="Q65" s="6"/>
    </row>
    <row r="66" spans="1:17">
      <c r="A66" s="30" t="s">
        <v>101</v>
      </c>
      <c r="B66" s="29">
        <v>-8</v>
      </c>
      <c r="C66" s="29" t="s">
        <v>471</v>
      </c>
      <c r="D66" s="71">
        <f>IFERROR(VLOOKUP($A66,'Balancete 2015'!$A:$D,4,0),"0")+O66</f>
        <v>45103.53</v>
      </c>
      <c r="E66" s="29"/>
      <c r="F66" s="29"/>
      <c r="G66" s="29"/>
      <c r="H66" s="29"/>
      <c r="I66" s="125">
        <f>IFERROR(VLOOKUP($A66,'Balancete 2016'!$A:$D,4,0),"0")</f>
        <v>43236.51</v>
      </c>
      <c r="J66" s="6"/>
      <c r="K66" s="57"/>
      <c r="M66" s="87" t="str">
        <f>VLOOKUP(A66,'1 sem.15'!A:D,1,0)</f>
        <v>8.1.7.33.11.11</v>
      </c>
      <c r="N66" s="88" t="str">
        <f>VLOOKUP(A66,'1 sem.15'!A:D,3,0)</f>
        <v>DESP DE PESSOAL - APIP/CAIXAPAR</v>
      </c>
      <c r="O66" s="88">
        <f>VLOOKUP(A66,'1 sem.15'!A:D,4,0)</f>
        <v>22407.08</v>
      </c>
      <c r="P66" s="7"/>
      <c r="Q66" s="6"/>
    </row>
    <row r="67" spans="1:17">
      <c r="A67" s="30" t="s">
        <v>102</v>
      </c>
      <c r="B67" s="29">
        <v>-4</v>
      </c>
      <c r="C67" s="29" t="s">
        <v>472</v>
      </c>
      <c r="D67" s="71">
        <f>IFERROR(VLOOKUP($A67,'Balancete 2015'!$A:$D,4,0),"0")+O67</f>
        <v>268830.06</v>
      </c>
      <c r="E67" s="29"/>
      <c r="F67" s="29"/>
      <c r="G67" s="29"/>
      <c r="H67" s="29"/>
      <c r="I67" s="125">
        <f>IFERROR(VLOOKUP($A67,'Balancete 2016'!$A:$D,4,0),"0")</f>
        <v>265394.40000000002</v>
      </c>
      <c r="J67" s="6"/>
      <c r="K67" s="57"/>
      <c r="M67" s="87" t="str">
        <f>VLOOKUP(A67,'1 sem.15'!A:D,1,0)</f>
        <v>8.1.7.33.11.13</v>
      </c>
      <c r="N67" s="88" t="str">
        <f>VLOOKUP(A67,'1 sem.15'!A:D,3,0)</f>
        <v>DESP DE PESSOAL - PROV 13º SAL/CAIXAPAR</v>
      </c>
      <c r="O67" s="88">
        <f>VLOOKUP(A67,'1 sem.15'!A:D,4,0)</f>
        <v>133732.03</v>
      </c>
      <c r="P67" s="7"/>
      <c r="Q67" s="6"/>
    </row>
    <row r="68" spans="1:17">
      <c r="A68" s="30" t="s">
        <v>103</v>
      </c>
      <c r="B68" s="29">
        <v>-2</v>
      </c>
      <c r="C68" s="29" t="s">
        <v>473</v>
      </c>
      <c r="D68" s="71">
        <f>IFERROR(VLOOKUP($A68,'Balancete 2015'!$A:$D,4,0),"0")+O68</f>
        <v>468922.47</v>
      </c>
      <c r="E68" s="29"/>
      <c r="F68" s="29"/>
      <c r="G68" s="29"/>
      <c r="H68" s="29"/>
      <c r="I68" s="125">
        <f>IFERROR(VLOOKUP($A68,'Balancete 2016'!$A:$D,4,0),"0")</f>
        <v>35864.04</v>
      </c>
      <c r="J68" s="6"/>
      <c r="K68" s="57"/>
      <c r="M68" s="87" t="str">
        <f>VLOOKUP(A68,'1 sem.15'!A:D,1,0)</f>
        <v>8.1.7.33.11.14</v>
      </c>
      <c r="N68" s="88" t="str">
        <f>VLOOKUP(A68,'1 sem.15'!A:D,3,0)</f>
        <v>DESP DE PESSOAL - PROV DE FERIAS/CAIXAPAR</v>
      </c>
      <c r="O68" s="88">
        <f>VLOOKUP(A68,'1 sem.15'!A:D,4,0)</f>
        <v>223584.45</v>
      </c>
      <c r="P68" s="7"/>
      <c r="Q68" s="6"/>
    </row>
    <row r="69" spans="1:17">
      <c r="A69" s="30" t="s">
        <v>104</v>
      </c>
      <c r="B69" s="29">
        <v>0</v>
      </c>
      <c r="C69" s="29" t="s">
        <v>474</v>
      </c>
      <c r="D69" s="71">
        <f>IFERROR(VLOOKUP($A69,'Balancete 2015'!$A:$D,4,0),"0")+O69</f>
        <v>48362.89</v>
      </c>
      <c r="E69" s="29"/>
      <c r="F69" s="29"/>
      <c r="G69" s="29"/>
      <c r="H69" s="29"/>
      <c r="I69" s="125">
        <f>IFERROR(VLOOKUP($A69,'Balancete 2016'!$A:$D,4,0),"0")</f>
        <v>48254.87</v>
      </c>
      <c r="J69" s="6"/>
      <c r="K69" s="57"/>
      <c r="M69" s="87" t="str">
        <f>VLOOKUP(A69,'1 sem.15'!A:D,1,0)</f>
        <v>8.1.7.33.11.15</v>
      </c>
      <c r="N69" s="88" t="str">
        <f>VLOOKUP(A69,'1 sem.15'!A:D,3,0)</f>
        <v>DESP DE PESSOAL - LICENCA PREMIO/CAIXAPAR</v>
      </c>
      <c r="O69" s="88">
        <f>VLOOKUP(A69,'1 sem.15'!A:D,4,0)</f>
        <v>23948.82</v>
      </c>
      <c r="P69" s="7"/>
      <c r="Q69" s="6"/>
    </row>
    <row r="70" spans="1:17">
      <c r="A70" s="30" t="s">
        <v>105</v>
      </c>
      <c r="B70" s="29">
        <v>-9</v>
      </c>
      <c r="C70" s="29" t="s">
        <v>475</v>
      </c>
      <c r="D70" s="71">
        <f>IFERROR(VLOOKUP($A70,'Balancete 2015'!$A:$D,4,0),"0")+O70</f>
        <v>201.16000000000003</v>
      </c>
      <c r="E70" s="29"/>
      <c r="F70" s="29"/>
      <c r="G70" s="29"/>
      <c r="H70" s="29"/>
      <c r="I70" s="125">
        <f>IFERROR(VLOOKUP($A70,'Balancete 2016'!$A:$D,4,0),"0")</f>
        <v>12.25</v>
      </c>
      <c r="J70" s="6"/>
      <c r="K70" s="57"/>
      <c r="M70" s="87" t="str">
        <f>VLOOKUP(A70,'1 sem.15'!A:D,1,0)</f>
        <v>8.1.7.33.11.16</v>
      </c>
      <c r="N70" s="88" t="str">
        <f>VLOOKUP(A70,'1 sem.15'!A:D,3,0)</f>
        <v>DESP DE PESSOAL - ADIC NOTURNO/CAIXAPAR</v>
      </c>
      <c r="O70" s="88">
        <f>VLOOKUP(A70,'1 sem.15'!A:D,4,0)</f>
        <v>184.52</v>
      </c>
      <c r="P70" s="7"/>
      <c r="Q70" s="6"/>
    </row>
    <row r="71" spans="1:17">
      <c r="A71" s="30" t="s">
        <v>476</v>
      </c>
      <c r="B71" s="29">
        <v>-1</v>
      </c>
      <c r="C71" s="29" t="s">
        <v>477</v>
      </c>
      <c r="D71" s="71">
        <f>IFERROR(VLOOKUP($A71,'Balancete 2015'!$A:$D,4,0),"0")+O71</f>
        <v>25652</v>
      </c>
      <c r="E71" s="29"/>
      <c r="F71" s="29"/>
      <c r="G71" s="29"/>
      <c r="H71" s="29"/>
      <c r="I71" s="125">
        <f>IFERROR(VLOOKUP($A71,'Balancete 2016'!$A:$D,4,0),"0")</f>
        <v>99853.5</v>
      </c>
      <c r="J71" s="6"/>
      <c r="K71" s="57"/>
      <c r="L71" s="82"/>
      <c r="M71" s="87" t="str">
        <f>+A71</f>
        <v>8.1.7.33.11.99</v>
      </c>
      <c r="N71" s="88" t="str">
        <f>+C71</f>
        <v>DESP DE PESSOAL - OUTRAS DESP VANT PESS/CAIXAPAR</v>
      </c>
      <c r="O71" s="88">
        <v>0</v>
      </c>
      <c r="P71" s="7"/>
      <c r="Q71" s="6"/>
    </row>
    <row r="72" spans="1:17" s="93" customFormat="1">
      <c r="A72" s="77" t="s">
        <v>605</v>
      </c>
      <c r="B72" s="78"/>
      <c r="C72" s="78" t="s">
        <v>950</v>
      </c>
      <c r="D72" s="125">
        <f>IFERROR(VLOOKUP($A72,'Balancete 2015'!$A:$D,4,0),"0")+O72</f>
        <v>16719</v>
      </c>
      <c r="E72" s="78">
        <v>400</v>
      </c>
      <c r="F72" s="78"/>
      <c r="G72" s="78">
        <v>100</v>
      </c>
      <c r="H72" s="78"/>
      <c r="I72" s="125">
        <f>IFERROR(VLOOKUP($A72,'Balancete 2016'!$A:$D,4,0),"0")</f>
        <v>23428</v>
      </c>
      <c r="J72" s="95"/>
      <c r="K72" s="57"/>
      <c r="M72" s="103" t="s">
        <v>605</v>
      </c>
      <c r="N72" s="161" t="str">
        <f>+C72</f>
        <v>DESPESAS DE PESSOAL - TREINAMENTO</v>
      </c>
      <c r="O72" s="161">
        <f>VLOOKUP(A72,'1 sem.15'!A:D,4,0)</f>
        <v>16719</v>
      </c>
      <c r="P72" s="100"/>
      <c r="Q72" s="95"/>
    </row>
    <row r="73" spans="1:17">
      <c r="A73" s="56" t="s">
        <v>951</v>
      </c>
      <c r="B73" s="29"/>
      <c r="C73" s="29" t="s">
        <v>952</v>
      </c>
      <c r="D73" s="71">
        <f>IFERROR(VLOOKUP($A73,'Balancete 2015'!$A:$D,4,0),"0")+O73</f>
        <v>16719</v>
      </c>
      <c r="E73" s="29"/>
      <c r="F73" s="29"/>
      <c r="G73" s="29"/>
      <c r="H73" s="29"/>
      <c r="I73" s="125">
        <f>IFERROR(VLOOKUP($A73,'Balancete 2016'!$A:$D,4,0),"0")</f>
        <v>23428</v>
      </c>
      <c r="J73" s="6"/>
      <c r="K73" s="57"/>
      <c r="M73" s="89" t="s">
        <v>951</v>
      </c>
      <c r="N73" s="88" t="str">
        <f>+C73</f>
        <v>DESP DE PESSOAL - TREINAMENTO/CAIXAPAR</v>
      </c>
      <c r="O73" s="88">
        <f>VLOOKUP(A73,'1 sem.15'!A:D,4,0)</f>
        <v>16719</v>
      </c>
      <c r="P73" s="7"/>
      <c r="Q73" s="6"/>
    </row>
    <row r="74" spans="1:17">
      <c r="A74" s="56" t="s">
        <v>953</v>
      </c>
      <c r="B74" s="29"/>
      <c r="C74" s="29" t="s">
        <v>954</v>
      </c>
      <c r="D74" s="71">
        <f>IFERROR(VLOOKUP($A74,'Balancete 2015'!$A:$D,4,0),"0")+O74</f>
        <v>16719</v>
      </c>
      <c r="E74" s="29"/>
      <c r="F74" s="29"/>
      <c r="G74" s="29"/>
      <c r="H74" s="29"/>
      <c r="I74" s="125">
        <f>IFERROR(VLOOKUP($A74,'Balancete 2016'!$A:$D,4,0),"0")</f>
        <v>23428</v>
      </c>
      <c r="J74" s="6"/>
      <c r="K74" s="57"/>
      <c r="M74" s="89" t="s">
        <v>953</v>
      </c>
      <c r="N74" s="88" t="str">
        <f>+C74</f>
        <v>DESP DE PESSOAL - OUTRAS DESP TREINA/CAIXAPAR</v>
      </c>
      <c r="O74" s="88">
        <f>VLOOKUP(A74,'1 sem.15'!A:D,4,0)</f>
        <v>16719</v>
      </c>
      <c r="P74" s="7"/>
      <c r="Q74" s="6"/>
    </row>
    <row r="75" spans="1:17">
      <c r="A75" s="89" t="s">
        <v>1049</v>
      </c>
      <c r="B75" s="89">
        <v>-7</v>
      </c>
      <c r="C75" s="89" t="s">
        <v>1050</v>
      </c>
      <c r="D75" s="71"/>
      <c r="E75" s="29">
        <v>400</v>
      </c>
      <c r="F75" s="29">
        <v>100</v>
      </c>
      <c r="G75" s="29">
        <v>900</v>
      </c>
      <c r="H75" s="29"/>
      <c r="I75" s="125">
        <f>IFERROR(VLOOKUP($A75,'Balancete 2016'!$A:$D,4,0),"0")</f>
        <v>111766.69</v>
      </c>
      <c r="J75" s="6"/>
      <c r="K75" s="57"/>
      <c r="M75" s="89"/>
      <c r="N75" s="88"/>
      <c r="O75" s="88"/>
      <c r="P75" s="7"/>
      <c r="Q75" s="6"/>
    </row>
    <row r="76" spans="1:17">
      <c r="A76" s="89" t="s">
        <v>1051</v>
      </c>
      <c r="B76" s="89">
        <v>-9</v>
      </c>
      <c r="C76" s="89" t="s">
        <v>1052</v>
      </c>
      <c r="D76" s="71"/>
      <c r="E76" s="29"/>
      <c r="F76" s="29"/>
      <c r="G76" s="29"/>
      <c r="H76" s="29"/>
      <c r="I76" s="125">
        <f>IFERROR(VLOOKUP($A76,'Balancete 2016'!$A:$D,4,0),"0")</f>
        <v>111766.69</v>
      </c>
      <c r="J76" s="6"/>
      <c r="K76" s="57"/>
      <c r="M76" s="89"/>
      <c r="N76" s="88"/>
      <c r="O76" s="88"/>
      <c r="P76" s="7"/>
      <c r="Q76" s="6"/>
    </row>
    <row r="77" spans="1:17">
      <c r="A77" s="89" t="s">
        <v>1053</v>
      </c>
      <c r="B77" s="89">
        <v>-7</v>
      </c>
      <c r="C77" s="89" t="s">
        <v>1052</v>
      </c>
      <c r="D77" s="71"/>
      <c r="E77" s="29"/>
      <c r="F77" s="29"/>
      <c r="G77" s="29"/>
      <c r="H77" s="29"/>
      <c r="I77" s="125">
        <f>IFERROR(VLOOKUP($A77,'Balancete 2016'!$A:$D,4,0),"0")</f>
        <v>111766.69</v>
      </c>
      <c r="J77" s="6"/>
      <c r="K77" s="57"/>
      <c r="M77" s="89"/>
      <c r="N77" s="88"/>
      <c r="O77" s="88"/>
      <c r="P77" s="7"/>
      <c r="Q77" s="6"/>
    </row>
    <row r="78" spans="1:17" s="93" customFormat="1">
      <c r="A78" s="84" t="s">
        <v>755</v>
      </c>
      <c r="B78" s="78"/>
      <c r="C78" s="78" t="s">
        <v>789</v>
      </c>
      <c r="D78" s="125">
        <f>IFERROR(VLOOKUP($A78,'Balancete 2015'!$A:$D,4,0),"0")+O78</f>
        <v>23405.16</v>
      </c>
      <c r="E78" s="78">
        <v>400</v>
      </c>
      <c r="F78" s="78">
        <v>100</v>
      </c>
      <c r="G78" s="78">
        <v>900</v>
      </c>
      <c r="H78" s="78"/>
      <c r="I78" s="125">
        <f>IFERROR(VLOOKUP($A78,'Balancete 2016'!$A:$D,4,0),"0")</f>
        <v>93620.64</v>
      </c>
      <c r="J78" s="95"/>
      <c r="K78" s="57"/>
      <c r="L78" s="82"/>
      <c r="M78" s="87" t="str">
        <f>+A78</f>
        <v>8.1.7.57</v>
      </c>
      <c r="N78" s="161" t="str">
        <f>+C78</f>
        <v>DESPESAS DE SERVIÇOS DE TERCEIROS</v>
      </c>
      <c r="O78" s="161">
        <v>0</v>
      </c>
      <c r="P78" s="100"/>
      <c r="Q78" s="95"/>
    </row>
    <row r="79" spans="1:17">
      <c r="A79" s="30" t="s">
        <v>756</v>
      </c>
      <c r="B79" s="29"/>
      <c r="C79" s="29" t="s">
        <v>789</v>
      </c>
      <c r="D79" s="71">
        <f>IFERROR(VLOOKUP($A79,'Balancete 2015'!$A:$D,4,0),"0")+O79</f>
        <v>23405.16</v>
      </c>
      <c r="E79" s="29"/>
      <c r="F79" s="29"/>
      <c r="G79" s="29"/>
      <c r="H79" s="29"/>
      <c r="I79" s="125">
        <f>IFERROR(VLOOKUP($A79,'Balancete 2016'!$A:$D,4,0),"0")</f>
        <v>93620.64</v>
      </c>
      <c r="J79" s="6"/>
      <c r="K79" s="57"/>
      <c r="L79" s="82"/>
      <c r="M79" s="87" t="str">
        <f>+A79</f>
        <v>8.1.7.57.10</v>
      </c>
      <c r="N79" s="88" t="str">
        <f>+C79</f>
        <v>DESPESAS DE SERVIÇOS DE TERCEIROS</v>
      </c>
      <c r="O79" s="88">
        <v>0</v>
      </c>
      <c r="P79" s="7"/>
      <c r="Q79" s="6"/>
    </row>
    <row r="80" spans="1:17">
      <c r="A80" s="30" t="s">
        <v>757</v>
      </c>
      <c r="B80" s="29"/>
      <c r="C80" s="29" t="s">
        <v>790</v>
      </c>
      <c r="D80" s="71">
        <f>IFERROR(VLOOKUP($A80,'Balancete 2015'!$A:$D,4,0),"0")+O80</f>
        <v>23405.16</v>
      </c>
      <c r="E80" s="29"/>
      <c r="F80" s="29"/>
      <c r="G80" s="29"/>
      <c r="H80" s="29"/>
      <c r="I80" s="125">
        <f>IFERROR(VLOOKUP($A80,'Balancete 2016'!$A:$D,4,0),"0")</f>
        <v>93620.64</v>
      </c>
      <c r="J80" s="6"/>
      <c r="K80" s="57"/>
      <c r="L80" s="82"/>
      <c r="M80" s="87" t="str">
        <f>+A80</f>
        <v>8.1.7.57.10.37</v>
      </c>
      <c r="N80" s="88" t="str">
        <f>+C80</f>
        <v>DESPESAS DE SERVIÇOS DE RECEPCIONISTAS</v>
      </c>
      <c r="O80" s="88">
        <v>0</v>
      </c>
      <c r="P80" s="7"/>
      <c r="Q80" s="6"/>
    </row>
    <row r="81" spans="1:17" s="93" customFormat="1">
      <c r="A81" s="84" t="s">
        <v>106</v>
      </c>
      <c r="B81" s="78">
        <v>-8</v>
      </c>
      <c r="C81" s="78" t="s">
        <v>107</v>
      </c>
      <c r="D81" s="125">
        <f>IFERROR(VLOOKUP($A81,'Balancete 2015'!$A:$D,4,0),"0")+O81</f>
        <v>33484.199999999997</v>
      </c>
      <c r="E81" s="78">
        <v>400</v>
      </c>
      <c r="F81" s="78">
        <v>100</v>
      </c>
      <c r="G81" s="78">
        <v>900</v>
      </c>
      <c r="H81" s="78"/>
      <c r="I81" s="125">
        <f>IFERROR(VLOOKUP($A81,'Balancete 2016'!$A:$D,4,0),"0")</f>
        <v>35912.519999999997</v>
      </c>
      <c r="J81" s="95"/>
      <c r="K81" s="57"/>
      <c r="M81" s="87" t="str">
        <f>VLOOKUP(A81,'1 sem.15'!A:D,1,0)</f>
        <v>8.1.7.60</v>
      </c>
      <c r="N81" s="161" t="str">
        <f>VLOOKUP(A81,'1 sem.15'!A:D,3,0)</f>
        <v>DESPESAS DE SERVICOS DE VIGILANCIA E SEGURANCA</v>
      </c>
      <c r="O81" s="161">
        <f>VLOOKUP(A81,'1 sem.15'!A:D,4,0)</f>
        <v>16135.02</v>
      </c>
      <c r="P81" s="100"/>
      <c r="Q81" s="95"/>
    </row>
    <row r="82" spans="1:17">
      <c r="A82" s="30" t="s">
        <v>108</v>
      </c>
      <c r="B82" s="29">
        <v>0</v>
      </c>
      <c r="C82" s="29" t="s">
        <v>478</v>
      </c>
      <c r="D82" s="71">
        <f>IFERROR(VLOOKUP($A82,'Balancete 2015'!$A:$D,4,0),"0")+O82</f>
        <v>33484.199999999997</v>
      </c>
      <c r="E82" s="29"/>
      <c r="F82" s="29"/>
      <c r="G82" s="29"/>
      <c r="H82" s="29"/>
      <c r="I82" s="125">
        <f>IFERROR(VLOOKUP($A82,'Balancete 2016'!$A:$D,4,0),"0")</f>
        <v>35912.519999999997</v>
      </c>
      <c r="J82" s="6"/>
      <c r="K82" s="57"/>
      <c r="M82" s="87" t="str">
        <f>VLOOKUP(A82,'1 sem.15'!A:D,1,0)</f>
        <v>8.1.7.60.11</v>
      </c>
      <c r="N82" s="88" t="str">
        <f>VLOOKUP(A82,'1 sem.15'!A:D,3,0)</f>
        <v>DESP DE SERV DE VIGILANCIA E SEGURANÇA/CAIXAPAR</v>
      </c>
      <c r="O82" s="88">
        <f>VLOOKUP(A82,'1 sem.15'!A:D,4,0)</f>
        <v>16135.02</v>
      </c>
      <c r="P82" s="7"/>
      <c r="Q82" s="6"/>
    </row>
    <row r="83" spans="1:17">
      <c r="A83" s="30" t="s">
        <v>109</v>
      </c>
      <c r="B83" s="29">
        <v>-8</v>
      </c>
      <c r="C83" s="29" t="s">
        <v>479</v>
      </c>
      <c r="D83" s="71">
        <f>IFERROR(VLOOKUP($A83,'Balancete 2015'!$A:$D,4,0),"0")+O83</f>
        <v>33484.199999999997</v>
      </c>
      <c r="E83" s="29"/>
      <c r="F83" s="29"/>
      <c r="G83" s="29"/>
      <c r="H83" s="29"/>
      <c r="I83" s="125">
        <f>IFERROR(VLOOKUP($A83,'Balancete 2016'!$A:$D,4,0),"0")</f>
        <v>35912.519999999997</v>
      </c>
      <c r="J83" s="6"/>
      <c r="K83" s="57"/>
      <c r="M83" s="87" t="str">
        <f>VLOOKUP(A83,'1 sem.15'!A:D,1,0)</f>
        <v>8.1.7.60.11.01</v>
      </c>
      <c r="N83" s="88" t="str">
        <f>VLOOKUP(A83,'1 sem.15'!A:D,3,0)</f>
        <v>DESP DE SERV DE VIGILANCIA E SEGURANCA/CAIXAPAR</v>
      </c>
      <c r="O83" s="88">
        <f>VLOOKUP(A83,'1 sem.15'!A:D,4,0)</f>
        <v>16135.02</v>
      </c>
      <c r="P83" s="7"/>
      <c r="Q83" s="6"/>
    </row>
    <row r="84" spans="1:17" s="93" customFormat="1">
      <c r="A84" s="84" t="s">
        <v>110</v>
      </c>
      <c r="B84" s="78">
        <v>-1</v>
      </c>
      <c r="C84" s="78" t="s">
        <v>111</v>
      </c>
      <c r="D84" s="125">
        <f>IFERROR(VLOOKUP($A84,'Balancete 2015'!$A:$D,4,0),"0")+O84</f>
        <v>2405317.27</v>
      </c>
      <c r="E84" s="78">
        <v>400</v>
      </c>
      <c r="F84" s="78">
        <v>100</v>
      </c>
      <c r="G84" s="78">
        <v>800</v>
      </c>
      <c r="H84" s="78"/>
      <c r="I84" s="125">
        <f>IFERROR(VLOOKUP($A84,'Balancete 2016'!$A:$D,4,0),"0")</f>
        <v>4032176.79</v>
      </c>
      <c r="J84" s="95"/>
      <c r="K84" s="57"/>
      <c r="M84" s="87" t="str">
        <f>VLOOKUP(A84,'1 sem.15'!A:D,1,0)</f>
        <v>8.1.7.63</v>
      </c>
      <c r="N84" s="161" t="str">
        <f>VLOOKUP(A84,'1 sem.15'!A:D,3,0)</f>
        <v>DESPESAS DE SERVICOS TECNICOS ESPECIALIZADOS</v>
      </c>
      <c r="O84" s="161">
        <f>VLOOKUP(A84,'1 sem.15'!A:D,4,0)</f>
        <v>1544995</v>
      </c>
      <c r="P84" s="100"/>
      <c r="Q84" s="95"/>
    </row>
    <row r="85" spans="1:17">
      <c r="A85" s="30" t="s">
        <v>112</v>
      </c>
      <c r="B85" s="29">
        <v>-2</v>
      </c>
      <c r="C85" s="29" t="s">
        <v>480</v>
      </c>
      <c r="D85" s="71">
        <f>IFERROR(VLOOKUP($A85,'Balancete 2015'!$A:$D,4,0),"0")+O85</f>
        <v>2405317.27</v>
      </c>
      <c r="E85" s="29"/>
      <c r="F85" s="29"/>
      <c r="G85" s="29"/>
      <c r="H85" s="29"/>
      <c r="I85" s="125">
        <f>IFERROR(VLOOKUP($A85,'Balancete 2016'!$A:$D,4,0),"0")</f>
        <v>4032176.79</v>
      </c>
      <c r="J85" s="6"/>
      <c r="K85" s="57"/>
      <c r="M85" s="87" t="str">
        <f>VLOOKUP(A85,'1 sem.15'!A:D,1,0)</f>
        <v>8.1.7.63.20</v>
      </c>
      <c r="N85" s="88" t="str">
        <f>VLOOKUP(A85,'1 sem.15'!A:D,3,0)</f>
        <v>DESPESAS DE SERVICOS DE CONSULTORIA</v>
      </c>
      <c r="O85" s="88">
        <f>VLOOKUP(A85,'1 sem.15'!A:D,4,0)</f>
        <v>1544995</v>
      </c>
      <c r="P85" s="7"/>
      <c r="Q85" s="6"/>
    </row>
    <row r="86" spans="1:17">
      <c r="A86" s="30" t="s">
        <v>113</v>
      </c>
      <c r="B86" s="29">
        <v>0</v>
      </c>
      <c r="C86" s="29" t="s">
        <v>481</v>
      </c>
      <c r="D86" s="71">
        <f>IFERROR(VLOOKUP($A86,'Balancete 2015'!$A:$D,4,0),"0")+O86</f>
        <v>2060162</v>
      </c>
      <c r="E86" s="29"/>
      <c r="F86" s="29"/>
      <c r="G86" s="29"/>
      <c r="H86" s="29"/>
      <c r="I86" s="125">
        <f>IFERROR(VLOOKUP($A86,'Balancete 2016'!$A:$D,4,0),"0")</f>
        <v>4032176.79</v>
      </c>
      <c r="J86" s="6"/>
      <c r="K86" s="57"/>
      <c r="M86" s="87" t="str">
        <f>VLOOKUP(A86,'1 sem.15'!A:D,1,0)</f>
        <v>8.1.7.63.20.01</v>
      </c>
      <c r="N86" s="88" t="str">
        <f>VLOOKUP(A86,'1 sem.15'!A:D,3,0)</f>
        <v>DESP DE SERV DE CONSULTORIA/CAIXAPAR</v>
      </c>
      <c r="O86" s="88">
        <f>VLOOKUP(A86,'1 sem.15'!A:D,4,0)</f>
        <v>1544995</v>
      </c>
      <c r="P86" s="7"/>
      <c r="Q86" s="6"/>
    </row>
    <row r="87" spans="1:17">
      <c r="A87" s="56" t="s">
        <v>758</v>
      </c>
      <c r="B87" s="29"/>
      <c r="C87" s="29" t="s">
        <v>791</v>
      </c>
      <c r="D87" s="71">
        <f>IFERROR(VLOOKUP($A87,'Balancete 2015'!$A:$D,4,0),"0")+O87</f>
        <v>345155.27</v>
      </c>
      <c r="E87" s="29"/>
      <c r="F87" s="29"/>
      <c r="G87" s="29"/>
      <c r="H87" s="29"/>
      <c r="I87" s="125" t="str">
        <f>IFERROR(VLOOKUP($A87,'Balancete 2016'!$A:$D,4,0),"0")</f>
        <v>0</v>
      </c>
      <c r="J87" s="6"/>
      <c r="K87" s="57"/>
      <c r="M87" s="87" t="str">
        <f>+A87</f>
        <v>8.1.7.63.20.02</v>
      </c>
      <c r="N87" s="88" t="str">
        <f>+C87</f>
        <v>DESP DE SERV DE AUDITORIA</v>
      </c>
      <c r="O87" s="88">
        <v>0</v>
      </c>
      <c r="P87" s="7"/>
      <c r="Q87" s="6"/>
    </row>
    <row r="88" spans="1:17" s="93" customFormat="1">
      <c r="A88" s="84" t="s">
        <v>114</v>
      </c>
      <c r="B88" s="78">
        <v>-9</v>
      </c>
      <c r="C88" s="78" t="s">
        <v>115</v>
      </c>
      <c r="D88" s="125">
        <f>IFERROR(VLOOKUP($A88,'Balancete 2015'!$A:$D,4,0),"0")+O88</f>
        <v>359.70000000000005</v>
      </c>
      <c r="E88" s="78">
        <v>400</v>
      </c>
      <c r="F88" s="78"/>
      <c r="G88" s="78">
        <v>900</v>
      </c>
      <c r="H88" s="78"/>
      <c r="I88" s="125">
        <f>IFERROR(VLOOKUP($A88,'Balancete 2016'!$A:$D,4,0),"0")</f>
        <v>348.56</v>
      </c>
      <c r="J88" s="95"/>
      <c r="K88" s="57"/>
      <c r="M88" s="87" t="str">
        <f>VLOOKUP(A88,'1 sem.15'!A:D,1,0)</f>
        <v>8.1.7.69</v>
      </c>
      <c r="N88" s="161" t="str">
        <f>VLOOKUP(A88,'1 sem.15'!A:D,3,0)</f>
        <v>DESPESAS TRIBUTARIAS</v>
      </c>
      <c r="O88" s="161">
        <f>VLOOKUP(A88,'1 sem.15'!A:D,4,0)</f>
        <v>154.9</v>
      </c>
      <c r="P88" s="100"/>
      <c r="Q88" s="95"/>
    </row>
    <row r="89" spans="1:17">
      <c r="A89" s="30" t="s">
        <v>116</v>
      </c>
      <c r="B89" s="29">
        <v>0</v>
      </c>
      <c r="C89" s="29" t="s">
        <v>482</v>
      </c>
      <c r="D89" s="71">
        <f>IFERROR(VLOOKUP($A89,'Balancete 2015'!$A:$D,4,0),"0")+O89</f>
        <v>359.70000000000005</v>
      </c>
      <c r="E89" s="29"/>
      <c r="F89" s="29"/>
      <c r="G89" s="29"/>
      <c r="H89" s="29"/>
      <c r="I89" s="125">
        <f>IFERROR(VLOOKUP($A89,'Balancete 2016'!$A:$D,4,0),"0")</f>
        <v>348.56</v>
      </c>
      <c r="J89" s="6"/>
      <c r="K89" s="57"/>
      <c r="M89" s="87" t="str">
        <f>VLOOKUP(A89,'1 sem.15'!A:D,1,0)</f>
        <v>8.1.7.69.20</v>
      </c>
      <c r="N89" s="88" t="str">
        <f>VLOOKUP(A89,'1 sem.15'!A:D,3,0)</f>
        <v>DESPESAS TRIBUTARIAS</v>
      </c>
      <c r="O89" s="88">
        <f>VLOOKUP(A89,'1 sem.15'!A:D,4,0)</f>
        <v>154.9</v>
      </c>
      <c r="P89" s="7"/>
      <c r="Q89" s="6"/>
    </row>
    <row r="90" spans="1:17">
      <c r="A90" s="30" t="s">
        <v>117</v>
      </c>
      <c r="B90" s="29">
        <v>-6</v>
      </c>
      <c r="C90" s="29" t="s">
        <v>483</v>
      </c>
      <c r="D90" s="71">
        <f>IFERROR(VLOOKUP($A90,'Balancete 2015'!$A:$D,4,0),"0")+O90</f>
        <v>359.70000000000005</v>
      </c>
      <c r="E90" s="29"/>
      <c r="F90" s="29"/>
      <c r="G90" s="29"/>
      <c r="H90" s="29"/>
      <c r="I90" s="125">
        <f>IFERROR(VLOOKUP($A90,'Balancete 2016'!$A:$D,4,0),"0")</f>
        <v>348.56</v>
      </c>
      <c r="J90" s="6"/>
      <c r="K90" s="57"/>
      <c r="M90" s="87" t="str">
        <f>VLOOKUP(A90,'1 sem.15'!A:D,1,0)</f>
        <v>8.1.7.69.20.02</v>
      </c>
      <c r="N90" s="88" t="str">
        <f>VLOOKUP(A90,'1 sem.15'!A:D,3,0)</f>
        <v>DESPESAS DE TRIBUTOS FEDERAIS - IOF</v>
      </c>
      <c r="O90" s="88">
        <f>VLOOKUP(A90,'1 sem.15'!A:D,4,0)</f>
        <v>154.9</v>
      </c>
      <c r="P90" s="7"/>
      <c r="Q90" s="6"/>
    </row>
    <row r="91" spans="1:17" s="93" customFormat="1">
      <c r="A91" s="84" t="s">
        <v>118</v>
      </c>
      <c r="B91" s="78">
        <v>-4</v>
      </c>
      <c r="C91" s="78" t="s">
        <v>119</v>
      </c>
      <c r="D91" s="125">
        <f>IFERROR(VLOOKUP($A91,'Balancete 2015'!$A:$D,4,0),"0")+O91</f>
        <v>0</v>
      </c>
      <c r="E91" s="78">
        <v>400</v>
      </c>
      <c r="F91" s="78">
        <v>100</v>
      </c>
      <c r="G91" s="78">
        <v>700</v>
      </c>
      <c r="H91" s="78"/>
      <c r="I91" s="125">
        <f>IFERROR(VLOOKUP($A91,'Balancete 2016'!$A:$D,4,0),"0")</f>
        <v>53795.34</v>
      </c>
      <c r="J91" s="95"/>
      <c r="K91" s="57"/>
      <c r="M91" s="87" t="str">
        <f>+A91</f>
        <v>8.1.7.75</v>
      </c>
      <c r="N91" s="161" t="str">
        <f>+C91</f>
        <v>DESPESAS DE VIAGEM NO PAIS</v>
      </c>
      <c r="O91" s="161">
        <v>0</v>
      </c>
      <c r="P91" s="100"/>
      <c r="Q91" s="95"/>
    </row>
    <row r="92" spans="1:17">
      <c r="A92" s="30" t="s">
        <v>120</v>
      </c>
      <c r="B92" s="29">
        <v>-5</v>
      </c>
      <c r="C92" s="29" t="s">
        <v>484</v>
      </c>
      <c r="D92" s="71">
        <f>IFERROR(VLOOKUP($A92,'Balancete 2015'!$A:$D,4,0),"0")+O92</f>
        <v>0</v>
      </c>
      <c r="E92" s="29"/>
      <c r="F92" s="29"/>
      <c r="G92" s="29"/>
      <c r="H92" s="29"/>
      <c r="I92" s="125">
        <f>IFERROR(VLOOKUP($A92,'Balancete 2016'!$A:$D,4,0),"0")</f>
        <v>53795.34</v>
      </c>
      <c r="J92" s="6"/>
      <c r="K92" s="57"/>
      <c r="M92" s="87" t="str">
        <f>+A92</f>
        <v>8.1.7.75.20</v>
      </c>
      <c r="N92" s="88" t="str">
        <f>+C92</f>
        <v>DESPESAS DE VIAGENS NO PAIS/CAIXAPAR</v>
      </c>
      <c r="O92" s="88">
        <v>0</v>
      </c>
      <c r="P92" s="7"/>
      <c r="Q92" s="6"/>
    </row>
    <row r="93" spans="1:17">
      <c r="A93" s="30" t="s">
        <v>121</v>
      </c>
      <c r="B93" s="29">
        <v>-3</v>
      </c>
      <c r="C93" s="29" t="s">
        <v>484</v>
      </c>
      <c r="D93" s="71">
        <f>IFERROR(VLOOKUP($A93,'Balancete 2015'!$A:$D,4,0),"0")+O93</f>
        <v>0</v>
      </c>
      <c r="E93" s="29"/>
      <c r="F93" s="29"/>
      <c r="G93" s="29"/>
      <c r="H93" s="29"/>
      <c r="I93" s="125">
        <f>IFERROR(VLOOKUP($A93,'Balancete 2016'!$A:$D,4,0),"0")</f>
        <v>53795.34</v>
      </c>
      <c r="J93" s="6"/>
      <c r="K93" s="57"/>
      <c r="M93" s="87" t="str">
        <f>+A93</f>
        <v>8.1.7.75.20.01</v>
      </c>
      <c r="N93" s="88" t="str">
        <f>+C93</f>
        <v>DESPESAS DE VIAGENS NO PAIS/CAIXAPAR</v>
      </c>
      <c r="O93" s="88">
        <v>0</v>
      </c>
      <c r="P93" s="7"/>
      <c r="Q93" s="6"/>
    </row>
    <row r="94" spans="1:17" s="93" customFormat="1">
      <c r="A94" s="84" t="s">
        <v>122</v>
      </c>
      <c r="B94" s="78">
        <v>0</v>
      </c>
      <c r="C94" s="78" t="s">
        <v>123</v>
      </c>
      <c r="D94" s="125">
        <f>IFERROR(VLOOKUP($A94,'Balancete 2015'!$A:$D,4,0),"0")+O94</f>
        <v>231820.38999999998</v>
      </c>
      <c r="E94" s="78">
        <v>400</v>
      </c>
      <c r="F94" s="78"/>
      <c r="G94" s="78">
        <v>900</v>
      </c>
      <c r="H94" s="78"/>
      <c r="I94" s="125">
        <f>IFERROR(VLOOKUP($A94,'Balancete 2016'!$A:$D,4,0),"0")</f>
        <v>254791.57</v>
      </c>
      <c r="J94" s="95"/>
      <c r="K94" s="57"/>
      <c r="M94" s="87" t="str">
        <f>VLOOKUP(A94,'1 sem.15'!A:D,1,0)</f>
        <v>8.1.7.99</v>
      </c>
      <c r="N94" s="161" t="str">
        <f>VLOOKUP(A94,'1 sem.15'!A:D,3,0)</f>
        <v>OUTRAS DESPESAS ADMINISTRATIVAS</v>
      </c>
      <c r="O94" s="161">
        <f>VLOOKUP(A94,'1 sem.15'!A:D,4,0)</f>
        <v>55462.46</v>
      </c>
      <c r="P94" s="100"/>
      <c r="Q94" s="95"/>
    </row>
    <row r="95" spans="1:17">
      <c r="A95" s="30" t="s">
        <v>124</v>
      </c>
      <c r="B95" s="29">
        <v>-7</v>
      </c>
      <c r="C95" s="29" t="s">
        <v>485</v>
      </c>
      <c r="D95" s="71">
        <f>IFERROR(VLOOKUP($A95,'Balancete 2015'!$A:$D,4,0),"0")+O95</f>
        <v>231820.38999999998</v>
      </c>
      <c r="E95" s="29"/>
      <c r="F95" s="29">
        <v>100</v>
      </c>
      <c r="G95" s="29"/>
      <c r="H95" s="29"/>
      <c r="I95" s="125">
        <f>IFERROR(VLOOKUP($A95,'Balancete 2016'!$A:$D,4,0),"0")</f>
        <v>254791.57</v>
      </c>
      <c r="J95" s="6"/>
      <c r="K95" s="57"/>
      <c r="M95" s="87" t="str">
        <f>VLOOKUP(A95,'1 sem.15'!A:D,1,0)</f>
        <v>8.1.7.99.50</v>
      </c>
      <c r="N95" s="88" t="str">
        <f>VLOOKUP(A95,'1 sem.15'!A:D,3,0)</f>
        <v>OUTRAS DESPESAS ADMINISTRATIVAS/SUBS</v>
      </c>
      <c r="O95" s="88">
        <f>VLOOKUP(A95,'1 sem.15'!A:D,4,0)</f>
        <v>55462.46</v>
      </c>
      <c r="P95" s="7"/>
      <c r="Q95" s="6"/>
    </row>
    <row r="96" spans="1:17">
      <c r="A96" s="30" t="s">
        <v>486</v>
      </c>
      <c r="B96" s="29">
        <v>-3</v>
      </c>
      <c r="C96" s="29" t="s">
        <v>487</v>
      </c>
      <c r="D96" s="71">
        <f>IFERROR(VLOOKUP($A96,'Balancete 2015'!$A:$D,4,0),"0")+O96</f>
        <v>0</v>
      </c>
      <c r="E96" s="29"/>
      <c r="F96" s="29"/>
      <c r="G96" s="29"/>
      <c r="H96" s="29"/>
      <c r="I96" s="125" t="str">
        <f>IFERROR(VLOOKUP($A96,'Balancete 2016'!$A:$D,4,0),"0")</f>
        <v>0</v>
      </c>
      <c r="J96" s="6"/>
      <c r="K96" s="57"/>
      <c r="M96" s="87" t="str">
        <f>+A96</f>
        <v>8.1.7.99.50.02</v>
      </c>
      <c r="N96" s="88" t="str">
        <f>+C96</f>
        <v>OUTRAS DESP TX E TARIFAS AQUISICOES/CAIXAPAR</v>
      </c>
      <c r="O96" s="88">
        <v>0</v>
      </c>
      <c r="P96" s="7"/>
      <c r="Q96" s="6"/>
    </row>
    <row r="97" spans="1:17">
      <c r="A97" s="30" t="s">
        <v>290</v>
      </c>
      <c r="B97" s="29">
        <v>-1</v>
      </c>
      <c r="C97" s="29" t="s">
        <v>488</v>
      </c>
      <c r="D97" s="71">
        <f>IFERROR(VLOOKUP($A97,'Balancete 2015'!$A:$D,4,0),"0")+O97</f>
        <v>0</v>
      </c>
      <c r="E97" s="29"/>
      <c r="F97" s="29"/>
      <c r="G97" s="29"/>
      <c r="H97" s="29"/>
      <c r="I97" s="125" t="str">
        <f>IFERROR(VLOOKUP($A97,'Balancete 2016'!$A:$D,4,0),"0")</f>
        <v>0</v>
      </c>
      <c r="J97" s="6"/>
      <c r="K97" s="57"/>
      <c r="M97" s="87" t="str">
        <f>+A97</f>
        <v>8.1.7.99.50.03</v>
      </c>
      <c r="N97" s="88" t="str">
        <f>+C97</f>
        <v>DESP C EMOLUMENTOS E REGIST CART/CAIXAPAR</v>
      </c>
      <c r="O97" s="88">
        <v>0</v>
      </c>
      <c r="P97" s="7"/>
      <c r="Q97" s="6"/>
    </row>
    <row r="98" spans="1:17">
      <c r="A98" s="30" t="s">
        <v>125</v>
      </c>
      <c r="B98" s="29">
        <v>-6</v>
      </c>
      <c r="C98" s="29" t="s">
        <v>485</v>
      </c>
      <c r="D98" s="71">
        <f>IFERROR(VLOOKUP($A98,'Balancete 2015'!$A:$D,4,0),"0")+O98</f>
        <v>231820.38999999998</v>
      </c>
      <c r="E98" s="29"/>
      <c r="F98" s="29"/>
      <c r="G98" s="29"/>
      <c r="H98" s="29"/>
      <c r="I98" s="125">
        <f>IFERROR(VLOOKUP($A98,'Balancete 2016'!$A:$D,4,0),"0")</f>
        <v>254791.57</v>
      </c>
      <c r="J98" s="6"/>
      <c r="K98" s="57"/>
      <c r="M98" s="87" t="str">
        <f>VLOOKUP(A98,'1 sem.15'!A:D,1,0)</f>
        <v>8.1.7.99.50.99</v>
      </c>
      <c r="N98" s="88" t="str">
        <f>VLOOKUP(A98,'1 sem.15'!A:D,3,0)</f>
        <v>OUTRAS DESPESAS ADMINISTRATIVAS/SUB</v>
      </c>
      <c r="O98" s="88">
        <f>VLOOKUP(A98,'1 sem.15'!A:D,4,0)</f>
        <v>55462.46</v>
      </c>
      <c r="P98" s="7"/>
      <c r="Q98" s="6"/>
    </row>
    <row r="99" spans="1:17">
      <c r="A99" s="30" t="s">
        <v>126</v>
      </c>
      <c r="B99" s="29">
        <v>-4</v>
      </c>
      <c r="C99" s="29" t="s">
        <v>127</v>
      </c>
      <c r="D99" s="71">
        <f>IFERROR(VLOOKUP($A99,'Balancete 2015'!$A:$D,4,0),"0")+O99</f>
        <v>75</v>
      </c>
      <c r="E99" s="29"/>
      <c r="F99" s="29"/>
      <c r="G99" s="29"/>
      <c r="H99" s="29"/>
      <c r="I99" s="125">
        <f>IFERROR(VLOOKUP($A99,'Balancete 2016'!$A:$D,4,0),"0")</f>
        <v>34475887.07</v>
      </c>
      <c r="J99" s="6"/>
      <c r="K99" s="57"/>
      <c r="M99" s="87" t="str">
        <f>VLOOKUP(A99,'1 sem.15'!A:D,1,0)</f>
        <v>8.1.8</v>
      </c>
      <c r="N99" s="88" t="str">
        <f>VLOOKUP(A99,'1 sem.15'!A:D,3,0)</f>
        <v>APROVISIONAMENTOS E AJUSTES PATRIMONIAIS</v>
      </c>
      <c r="O99" s="88">
        <f>VLOOKUP(A99,'1 sem.15'!A:D,4,0)</f>
        <v>75</v>
      </c>
      <c r="P99" s="7"/>
      <c r="Q99" s="6"/>
    </row>
    <row r="100" spans="1:17">
      <c r="A100" s="84" t="s">
        <v>128</v>
      </c>
      <c r="B100" s="78">
        <v>-1</v>
      </c>
      <c r="C100" s="78" t="s">
        <v>129</v>
      </c>
      <c r="D100" s="125">
        <f>IFERROR(VLOOKUP($A100,'Balancete 2015'!$A:$D,4,0),"0")+O100</f>
        <v>75</v>
      </c>
      <c r="E100" s="78"/>
      <c r="F100" s="78"/>
      <c r="G100" s="78"/>
      <c r="H100" s="78"/>
      <c r="I100" s="125" t="str">
        <f>IFERROR(VLOOKUP($A100,'Balancete 2016'!$A:$D,4,0),"0")</f>
        <v>0</v>
      </c>
      <c r="J100" s="6"/>
      <c r="K100" s="57"/>
      <c r="M100" s="87" t="str">
        <f>VLOOKUP(A100,'1 sem.15'!A:D,1,0)</f>
        <v>8.1.8.20</v>
      </c>
      <c r="N100" s="88" t="str">
        <f>VLOOKUP(A100,'1 sem.15'!A:D,3,0)</f>
        <v>DESPESAS DE DEPRECIACAO</v>
      </c>
      <c r="O100" s="88">
        <f>VLOOKUP(A100,'1 sem.15'!A:D,4,0)</f>
        <v>75</v>
      </c>
      <c r="P100" s="7"/>
      <c r="Q100" s="6"/>
    </row>
    <row r="101" spans="1:17">
      <c r="A101" s="30" t="s">
        <v>130</v>
      </c>
      <c r="B101" s="29">
        <v>-7</v>
      </c>
      <c r="C101" s="29" t="s">
        <v>129</v>
      </c>
      <c r="D101" s="71">
        <f>IFERROR(VLOOKUP($A101,'Balancete 2015'!$A:$D,4,0),"0")+O101</f>
        <v>75</v>
      </c>
      <c r="E101" s="29"/>
      <c r="F101" s="29"/>
      <c r="G101" s="29"/>
      <c r="H101" s="29"/>
      <c r="I101" s="125" t="str">
        <f>IFERROR(VLOOKUP($A101,'Balancete 2016'!$A:$D,4,0),"0")</f>
        <v>0</v>
      </c>
      <c r="J101" s="6"/>
      <c r="K101" s="57"/>
      <c r="M101" s="87" t="str">
        <f>VLOOKUP(A101,'1 sem.15'!A:D,1,0)</f>
        <v>8.1.8.20.10</v>
      </c>
      <c r="N101" s="88" t="str">
        <f>VLOOKUP(A101,'1 sem.15'!A:D,3,0)</f>
        <v>DESPESAS DE DEPRECIACAO</v>
      </c>
      <c r="O101" s="88">
        <f>VLOOKUP(A101,'1 sem.15'!A:D,4,0)</f>
        <v>75</v>
      </c>
      <c r="P101" s="7"/>
      <c r="Q101" s="6"/>
    </row>
    <row r="102" spans="1:17">
      <c r="A102" s="30" t="s">
        <v>131</v>
      </c>
      <c r="B102" s="29">
        <v>-1</v>
      </c>
      <c r="C102" s="29" t="s">
        <v>489</v>
      </c>
      <c r="D102" s="125">
        <f>IFERROR(VLOOKUP($A102,'Balancete 2015'!$A:$D,4,0),"0")+O102</f>
        <v>75</v>
      </c>
      <c r="E102" s="29"/>
      <c r="F102" s="29"/>
      <c r="G102" s="29"/>
      <c r="H102" s="29"/>
      <c r="I102" s="125" t="str">
        <f>IFERROR(VLOOKUP($A102,'Balancete 2016'!$A:$D,4,0),"0")</f>
        <v>0</v>
      </c>
      <c r="J102" s="6"/>
      <c r="K102" s="57"/>
      <c r="M102" s="87" t="str">
        <f>VLOOKUP(A102,'1 sem.15'!A:D,1,0)</f>
        <v>8.1.8.20.10.20</v>
      </c>
      <c r="N102" s="88" t="str">
        <f>VLOOKUP(A102,'1 sem.15'!A:D,3,0)</f>
        <v>DESPESAS DE DEPRECIACAO MOV EQUIP/CAIXAPAR</v>
      </c>
      <c r="O102" s="88">
        <f>VLOOKUP(A102,'1 sem.15'!A:D,4,0)</f>
        <v>75</v>
      </c>
      <c r="P102" s="7"/>
      <c r="Q102" s="6"/>
    </row>
    <row r="103" spans="1:17">
      <c r="A103" s="89" t="s">
        <v>1058</v>
      </c>
      <c r="B103" s="89">
        <v>-5</v>
      </c>
      <c r="C103" s="89" t="s">
        <v>1059</v>
      </c>
      <c r="D103" s="125"/>
      <c r="E103" s="29">
        <v>200</v>
      </c>
      <c r="F103" s="29"/>
      <c r="G103" s="29"/>
      <c r="H103" s="29"/>
      <c r="I103" s="125">
        <f>IFERROR(VLOOKUP($A103,'Balancete 2016'!$A:$D,4,0),"0")</f>
        <v>34475887.07</v>
      </c>
      <c r="J103" s="6"/>
      <c r="K103" s="57"/>
      <c r="M103" s="87"/>
      <c r="N103" s="88"/>
      <c r="O103" s="88"/>
      <c r="P103" s="7"/>
      <c r="Q103" s="6"/>
    </row>
    <row r="104" spans="1:17">
      <c r="A104" s="89" t="s">
        <v>1060</v>
      </c>
      <c r="B104" s="89">
        <v>-6</v>
      </c>
      <c r="C104" s="89" t="s">
        <v>1061</v>
      </c>
      <c r="D104" s="125"/>
      <c r="E104" s="29"/>
      <c r="F104" s="29"/>
      <c r="G104" s="29"/>
      <c r="H104" s="29"/>
      <c r="I104" s="125">
        <f>IFERROR(VLOOKUP($A104,'Balancete 2016'!$A:$D,4,0),"0")</f>
        <v>34475887.07</v>
      </c>
      <c r="J104" s="6"/>
      <c r="K104" s="57"/>
      <c r="M104" s="87"/>
      <c r="N104" s="88"/>
      <c r="O104" s="88"/>
      <c r="P104" s="7"/>
      <c r="Q104" s="6"/>
    </row>
    <row r="105" spans="1:17">
      <c r="A105" s="89" t="s">
        <v>1062</v>
      </c>
      <c r="B105" s="89">
        <v>-3</v>
      </c>
      <c r="C105" s="89" t="s">
        <v>1063</v>
      </c>
      <c r="D105" s="125"/>
      <c r="E105" s="29"/>
      <c r="F105" s="29"/>
      <c r="G105" s="29"/>
      <c r="H105" s="29"/>
      <c r="I105" s="125">
        <f>IFERROR(VLOOKUP($A105,'Balancete 2016'!$A:$D,4,0),"0")</f>
        <v>34475887.07</v>
      </c>
      <c r="J105" s="6"/>
      <c r="K105" s="57"/>
      <c r="M105" s="87"/>
      <c r="N105" s="88"/>
      <c r="O105" s="88"/>
      <c r="P105" s="7"/>
      <c r="Q105" s="6"/>
    </row>
    <row r="106" spans="1:17">
      <c r="A106" s="30" t="s">
        <v>337</v>
      </c>
      <c r="B106" s="29">
        <v>-2</v>
      </c>
      <c r="C106" s="29" t="s">
        <v>132</v>
      </c>
      <c r="D106" s="125">
        <f>IFERROR(VLOOKUP($A106,'Balancete 2015'!$A:$D,4,0),"0")+O106</f>
        <v>23072498.32</v>
      </c>
      <c r="E106" s="29"/>
      <c r="F106" s="29"/>
      <c r="G106" s="29"/>
      <c r="H106" s="29"/>
      <c r="I106" s="125">
        <f>IFERROR(VLOOKUP($A106,'Balancete 2016'!$A:$D,4,0),"0")</f>
        <v>8726030.5800000001</v>
      </c>
      <c r="J106" s="6"/>
      <c r="K106" s="57"/>
      <c r="M106" s="87" t="str">
        <f>VLOOKUP(A106,'1 sem.15'!A:D,1,0)</f>
        <v>8.1.9</v>
      </c>
      <c r="N106" s="88" t="str">
        <f>VLOOKUP(A106,'1 sem.15'!A:D,3,0)</f>
        <v>OUTRAS DESPESAS OPERACIONAIS</v>
      </c>
      <c r="O106" s="88">
        <f>VLOOKUP(A106,'1 sem.15'!A:D,4,0)</f>
        <v>20083686.25</v>
      </c>
      <c r="P106" s="7"/>
      <c r="Q106" s="6"/>
    </row>
    <row r="107" spans="1:17" s="93" customFormat="1">
      <c r="A107" s="84" t="s">
        <v>133</v>
      </c>
      <c r="B107" s="78">
        <v>-3</v>
      </c>
      <c r="C107" s="78" t="s">
        <v>134</v>
      </c>
      <c r="D107" s="125">
        <f>IFERROR(VLOOKUP($A107,'Balancete 2015'!$A:$D,4,0),"0")+O107</f>
        <v>8699801.7300000004</v>
      </c>
      <c r="E107" s="78">
        <v>600</v>
      </c>
      <c r="F107" s="78">
        <v>300</v>
      </c>
      <c r="G107" s="78"/>
      <c r="H107" s="78"/>
      <c r="I107" s="125">
        <f>IFERROR(VLOOKUP($A107,'Balancete 2016'!$A:$D,4,0),"0")</f>
        <v>4838077.95</v>
      </c>
      <c r="J107" s="95"/>
      <c r="K107" s="57"/>
      <c r="M107" s="87" t="str">
        <f>VLOOKUP(A107,'1 sem.15'!A:D,1,0)</f>
        <v>8.1.9.30</v>
      </c>
      <c r="N107" s="161" t="str">
        <f>VLOOKUP(A107,'1 sem.15'!A:D,3,0)</f>
        <v>DESPESAS DE CONTRIBUICAO AO COFINS</v>
      </c>
      <c r="O107" s="161">
        <f>VLOOKUP(A107,'1 sem.15'!A:D,4,0)</f>
        <v>6514195.5499999998</v>
      </c>
      <c r="P107" s="100"/>
      <c r="Q107" s="95"/>
    </row>
    <row r="108" spans="1:17">
      <c r="A108" s="30" t="s">
        <v>135</v>
      </c>
      <c r="B108" s="29">
        <v>-5</v>
      </c>
      <c r="C108" s="29" t="s">
        <v>490</v>
      </c>
      <c r="D108" s="125">
        <f>IFERROR(VLOOKUP($A108,'Balancete 2015'!$A:$D,4,0),"0")+O108</f>
        <v>8699801.7300000004</v>
      </c>
      <c r="E108" s="29"/>
      <c r="F108" s="29"/>
      <c r="G108" s="29"/>
      <c r="H108" s="29"/>
      <c r="I108" s="125">
        <f>IFERROR(VLOOKUP($A108,'Balancete 2016'!$A:$D,4,0),"0")</f>
        <v>4838077.95</v>
      </c>
      <c r="J108" s="6"/>
      <c r="K108" s="57"/>
      <c r="M108" s="87" t="str">
        <f>VLOOKUP(A108,'1 sem.15'!A:D,1,0)</f>
        <v>8.1.9.30.11</v>
      </c>
      <c r="N108" s="88" t="str">
        <f>VLOOKUP(A108,'1 sem.15'!A:D,3,0)</f>
        <v>DESPESAS DE CONTRIBUICAO AO COFINS</v>
      </c>
      <c r="O108" s="88">
        <f>VLOOKUP(A108,'1 sem.15'!A:D,4,0)</f>
        <v>6514195.5499999998</v>
      </c>
      <c r="P108" s="7"/>
      <c r="Q108" s="6"/>
    </row>
    <row r="109" spans="1:17">
      <c r="A109" s="30" t="s">
        <v>136</v>
      </c>
      <c r="B109" s="29">
        <v>-3</v>
      </c>
      <c r="C109" s="29" t="s">
        <v>490</v>
      </c>
      <c r="D109" s="125">
        <f>IFERROR(VLOOKUP($A109,'Balancete 2015'!$A:$D,4,0),"0")+O109</f>
        <v>8672672.5299999993</v>
      </c>
      <c r="E109" s="29"/>
      <c r="F109" s="29"/>
      <c r="G109" s="29"/>
      <c r="H109" s="29"/>
      <c r="I109" s="125">
        <f>IFERROR(VLOOKUP($A109,'Balancete 2016'!$A:$D,4,0),"0")</f>
        <v>4838077.95</v>
      </c>
      <c r="J109" s="6"/>
      <c r="K109" s="57"/>
      <c r="M109" s="87" t="str">
        <f>VLOOKUP(A109,'1 sem.15'!A:D,1,0)</f>
        <v>8.1.9.30.11.01</v>
      </c>
      <c r="N109" s="88" t="str">
        <f>VLOOKUP(A109,'1 sem.15'!A:D,3,0)</f>
        <v>DESPESAS DE CONTRIBUICAO AO COFINS</v>
      </c>
      <c r="O109" s="88">
        <f>VLOOKUP(A109,'1 sem.15'!A:D,4,0)</f>
        <v>6487066.3499999996</v>
      </c>
      <c r="P109" s="7"/>
      <c r="Q109" s="6"/>
    </row>
    <row r="110" spans="1:17">
      <c r="A110" s="30" t="s">
        <v>759</v>
      </c>
      <c r="B110" s="29">
        <v>1</v>
      </c>
      <c r="C110" s="29" t="s">
        <v>760</v>
      </c>
      <c r="D110" s="125">
        <f>IFERROR(VLOOKUP($A110,'Balancete 2015'!$A:$D,4,0),"0")+O110</f>
        <v>27129.200000000001</v>
      </c>
      <c r="E110" s="29"/>
      <c r="F110" s="29"/>
      <c r="G110" s="29"/>
      <c r="H110" s="29"/>
      <c r="I110" s="125" t="str">
        <f>IFERROR(VLOOKUP($A110,'Balancete 2016'!$A:$D,4,0),"0")</f>
        <v>0</v>
      </c>
      <c r="J110" s="6"/>
      <c r="K110" s="57"/>
      <c r="M110" s="87" t="str">
        <f>VLOOKUP(A110,'1 sem.15'!A:D,1,0)</f>
        <v>8.1.9.30.11.02</v>
      </c>
      <c r="N110" s="88" t="str">
        <f>VLOOKUP(A110,'1 sem.15'!A:D,3,0)</f>
        <v>DESP COFINS EXERCICIO ANTERIORES/CAIXAPAR</v>
      </c>
      <c r="O110" s="88">
        <f>VLOOKUP(A110,'1 sem.15'!A:D,4,0)</f>
        <v>27129.200000000001</v>
      </c>
      <c r="P110" s="7"/>
      <c r="Q110" s="6"/>
    </row>
    <row r="111" spans="1:17">
      <c r="A111" s="30" t="s">
        <v>491</v>
      </c>
      <c r="B111" s="29">
        <v>-4</v>
      </c>
      <c r="C111" s="29" t="s">
        <v>492</v>
      </c>
      <c r="D111" s="125">
        <f>IFERROR(VLOOKUP($A111,'Balancete 2015'!$A:$D,4,0),"0")+O111</f>
        <v>0</v>
      </c>
      <c r="E111" s="29"/>
      <c r="F111" s="29"/>
      <c r="G111" s="29"/>
      <c r="H111" s="29"/>
      <c r="I111" s="125" t="str">
        <f>IFERROR(VLOOKUP($A111,'Balancete 2016'!$A:$D,4,0),"0")</f>
        <v>0</v>
      </c>
      <c r="J111" s="6"/>
      <c r="K111" s="57"/>
      <c r="M111" s="87" t="str">
        <f>+A111</f>
        <v>8.1.9.30.20</v>
      </c>
      <c r="N111" s="88" t="str">
        <f>+C111</f>
        <v>COFINS DIFERIDO</v>
      </c>
      <c r="O111" s="88">
        <v>0</v>
      </c>
      <c r="P111" s="7"/>
      <c r="Q111" s="6"/>
    </row>
    <row r="112" spans="1:17">
      <c r="A112" s="30" t="s">
        <v>493</v>
      </c>
      <c r="B112" s="29">
        <v>-3</v>
      </c>
      <c r="C112" s="29" t="s">
        <v>494</v>
      </c>
      <c r="D112" s="125">
        <f>IFERROR(VLOOKUP($A112,'Balancete 2015'!$A:$D,4,0),"0")+O112</f>
        <v>0</v>
      </c>
      <c r="E112" s="29"/>
      <c r="F112" s="29"/>
      <c r="G112" s="29"/>
      <c r="H112" s="29"/>
      <c r="I112" s="125" t="str">
        <f>IFERROR(VLOOKUP($A112,'Balancete 2016'!$A:$D,4,0),"0")</f>
        <v>0</v>
      </c>
      <c r="J112" s="6"/>
      <c r="K112" s="57"/>
      <c r="M112" s="87" t="str">
        <f>+A112</f>
        <v>8.1.9.30.20.06</v>
      </c>
      <c r="N112" s="88" t="str">
        <f>+C112</f>
        <v>ATIVO/PASSIVO FISCAL DIFERIDO COFINS/CAIXAPAR</v>
      </c>
      <c r="O112" s="88">
        <v>0</v>
      </c>
      <c r="P112" s="7"/>
      <c r="Q112" s="6"/>
    </row>
    <row r="113" spans="1:17" s="93" customFormat="1">
      <c r="A113" s="84" t="s">
        <v>137</v>
      </c>
      <c r="B113" s="78">
        <v>-7</v>
      </c>
      <c r="C113" s="78" t="s">
        <v>138</v>
      </c>
      <c r="D113" s="125">
        <f>IFERROR(VLOOKUP($A113,'Balancete 2015'!$A:$D,4,0),"0")+O113</f>
        <v>1780936.02</v>
      </c>
      <c r="E113" s="78">
        <v>600</v>
      </c>
      <c r="F113" s="78">
        <v>300</v>
      </c>
      <c r="G113" s="78"/>
      <c r="H113" s="78"/>
      <c r="I113" s="125">
        <f>IFERROR(VLOOKUP($A113,'Balancete 2016'!$A:$D,4,0),"0")</f>
        <v>805739.05</v>
      </c>
      <c r="J113" s="95"/>
      <c r="K113" s="57"/>
      <c r="M113" s="87" t="str">
        <f>VLOOKUP(A113,'1 sem.15'!A:D,1,0)</f>
        <v>8.1.9.33</v>
      </c>
      <c r="N113" s="161" t="str">
        <f>VLOOKUP(A113,'1 sem.15'!A:D,3,0)</f>
        <v>DESPESAS DE CONTRIBUICAO AO PIS/PASEP</v>
      </c>
      <c r="O113" s="161">
        <f>VLOOKUP(A113,'1 sem.15'!A:D,4,0)</f>
        <v>1414266.15</v>
      </c>
      <c r="P113" s="100"/>
      <c r="Q113" s="95"/>
    </row>
    <row r="114" spans="1:17">
      <c r="A114" s="30" t="s">
        <v>139</v>
      </c>
      <c r="B114" s="29">
        <v>-9</v>
      </c>
      <c r="C114" s="29" t="s">
        <v>495</v>
      </c>
      <c r="D114" s="125">
        <f>IFERROR(VLOOKUP($A114,'Balancete 2015'!$A:$D,4,0),"0")+O114</f>
        <v>1780936.02</v>
      </c>
      <c r="E114" s="29"/>
      <c r="F114" s="29"/>
      <c r="G114" s="29"/>
      <c r="H114" s="29"/>
      <c r="I114" s="125">
        <f>IFERROR(VLOOKUP($A114,'Balancete 2016'!$A:$D,4,0),"0")</f>
        <v>805739.05</v>
      </c>
      <c r="J114" s="6"/>
      <c r="K114" s="57"/>
      <c r="M114" s="87" t="str">
        <f>VLOOKUP(A114,'1 sem.15'!A:D,1,0)</f>
        <v>8.1.9.33.11</v>
      </c>
      <c r="N114" s="88" t="str">
        <f>VLOOKUP(A114,'1 sem.15'!A:D,3,0)</f>
        <v>DESPESAS DE CONTRIBUICAO AO PIS/PASEP</v>
      </c>
      <c r="O114" s="88">
        <f>VLOOKUP(A114,'1 sem.15'!A:D,4,0)</f>
        <v>1414266.15</v>
      </c>
      <c r="P114" s="7"/>
      <c r="Q114" s="6"/>
    </row>
    <row r="115" spans="1:17">
      <c r="A115" s="84" t="s">
        <v>140</v>
      </c>
      <c r="B115" s="78">
        <v>-7</v>
      </c>
      <c r="C115" s="78" t="s">
        <v>496</v>
      </c>
      <c r="D115" s="125">
        <f>IFERROR(VLOOKUP($A115,'Balancete 2015'!$A:$D,4,0),"0")+O115</f>
        <v>1775046.13</v>
      </c>
      <c r="E115" s="78"/>
      <c r="F115" s="78"/>
      <c r="G115" s="78"/>
      <c r="H115" s="78"/>
      <c r="I115" s="125">
        <f>IFERROR(VLOOKUP($A115,'Balancete 2016'!$A:$D,4,0),"0")</f>
        <v>805739.05</v>
      </c>
      <c r="J115" s="6"/>
      <c r="K115" s="57"/>
      <c r="M115" s="87" t="str">
        <f>VLOOKUP(A115,'1 sem.15'!A:D,1,0)</f>
        <v>8.1.9.33.11.01</v>
      </c>
      <c r="N115" s="88" t="str">
        <f>VLOOKUP(A115,'1 sem.15'!A:D,3,0)</f>
        <v>DESPESAS DE CONTRIBUICAO AO PASEP</v>
      </c>
      <c r="O115" s="88">
        <f>VLOOKUP(A115,'1 sem.15'!A:D,4,0)</f>
        <v>1408376.26</v>
      </c>
      <c r="P115" s="7"/>
      <c r="Q115" s="6"/>
    </row>
    <row r="116" spans="1:17">
      <c r="A116" s="77" t="s">
        <v>761</v>
      </c>
      <c r="B116" s="78">
        <v>5</v>
      </c>
      <c r="C116" s="78" t="s">
        <v>762</v>
      </c>
      <c r="D116" s="125">
        <f>IFERROR(VLOOKUP($A116,'Balancete 2015'!$A:$D,4,0),"0")+O116</f>
        <v>5889.89</v>
      </c>
      <c r="E116" s="78"/>
      <c r="F116" s="78"/>
      <c r="G116" s="78"/>
      <c r="H116" s="78"/>
      <c r="I116" s="125" t="str">
        <f>IFERROR(VLOOKUP($A116,'Balancete 2016'!$A:$D,4,0),"0")</f>
        <v>0</v>
      </c>
      <c r="J116" s="6"/>
      <c r="K116" s="57"/>
      <c r="M116" s="87" t="str">
        <f>VLOOKUP(A116,'1 sem.15'!A:D,1,0)</f>
        <v>8.1.9.33.11.02</v>
      </c>
      <c r="N116" s="88" t="str">
        <f>VLOOKUP(A116,'1 sem.15'!A:D,3,0)</f>
        <v>DESP PASEP EXERCICIO ANTERIORES/CAIXAPAR</v>
      </c>
      <c r="O116" s="88">
        <f>VLOOKUP(A116,'1 sem.15'!A:D,4,0)</f>
        <v>5889.89</v>
      </c>
      <c r="P116" s="7"/>
      <c r="Q116" s="6"/>
    </row>
    <row r="117" spans="1:17">
      <c r="A117" s="84" t="s">
        <v>497</v>
      </c>
      <c r="B117" s="78">
        <v>-8</v>
      </c>
      <c r="C117" s="78" t="s">
        <v>498</v>
      </c>
      <c r="D117" s="125">
        <f>IFERROR(VLOOKUP($A117,'Balancete 2015'!$A:$D,4,0),"0")+O117</f>
        <v>0</v>
      </c>
      <c r="E117" s="78"/>
      <c r="F117" s="78"/>
      <c r="G117" s="78"/>
      <c r="H117" s="78"/>
      <c r="I117" s="125" t="str">
        <f>IFERROR(VLOOKUP($A117,'Balancete 2016'!$A:$D,4,0),"0")</f>
        <v>0</v>
      </c>
      <c r="J117" s="6"/>
      <c r="K117" s="57"/>
      <c r="M117" s="87" t="str">
        <f>+A117</f>
        <v>8.1.9.33.20</v>
      </c>
      <c r="N117" s="88" t="str">
        <f>+C117</f>
        <v>PASEP DIFERIDO</v>
      </c>
      <c r="O117" s="88">
        <v>0</v>
      </c>
      <c r="P117" s="7"/>
      <c r="Q117" s="6"/>
    </row>
    <row r="118" spans="1:17">
      <c r="A118" s="84" t="s">
        <v>499</v>
      </c>
      <c r="B118" s="78">
        <v>-7</v>
      </c>
      <c r="C118" s="78" t="s">
        <v>500</v>
      </c>
      <c r="D118" s="125">
        <f>IFERROR(VLOOKUP($A118,'Balancete 2015'!$A:$D,4,0),"0")+O118</f>
        <v>0</v>
      </c>
      <c r="E118" s="78"/>
      <c r="F118" s="78"/>
      <c r="G118" s="78"/>
      <c r="H118" s="78"/>
      <c r="I118" s="125" t="str">
        <f>IFERROR(VLOOKUP($A118,'Balancete 2016'!$A:$D,4,0),"0")</f>
        <v>0</v>
      </c>
      <c r="J118" s="6"/>
      <c r="K118" s="57"/>
      <c r="M118" s="87" t="str">
        <f>+A118</f>
        <v>8.1.9.33.20.06</v>
      </c>
      <c r="N118" s="88" t="str">
        <f>+C118</f>
        <v>ATIVO/PASSIVO FISCAL DIFERIDO PASEP/CAIXAPAR</v>
      </c>
      <c r="O118" s="88">
        <v>0</v>
      </c>
      <c r="P118" s="7"/>
      <c r="Q118" s="6"/>
    </row>
    <row r="119" spans="1:17">
      <c r="A119" s="84" t="s">
        <v>141</v>
      </c>
      <c r="B119" s="78">
        <v>-6</v>
      </c>
      <c r="C119" s="78" t="s">
        <v>132</v>
      </c>
      <c r="D119" s="125">
        <f>IFERROR(VLOOKUP($A119,'Balancete 2015'!$A:$D,4,0),"0")+O119</f>
        <v>12591760.57</v>
      </c>
      <c r="E119" s="78"/>
      <c r="F119" s="78"/>
      <c r="G119" s="78"/>
      <c r="H119" s="78"/>
      <c r="I119" s="125">
        <f>IFERROR(VLOOKUP($A119,'Balancete 2016'!$A:$D,4,0),"0")</f>
        <v>3082213.58</v>
      </c>
      <c r="J119" s="6"/>
      <c r="K119" s="57"/>
      <c r="M119" s="87" t="str">
        <f>VLOOKUP(A119,'1 sem.15'!A:D,1,0)</f>
        <v>8.1.9.99</v>
      </c>
      <c r="N119" s="88" t="str">
        <f>VLOOKUP(A119,'1 sem.15'!A:D,3,0)</f>
        <v>OUTRAS DESPESAS OPERACIONAIS</v>
      </c>
      <c r="O119" s="88">
        <f>VLOOKUP(A119,'1 sem.15'!A:D,4,0)</f>
        <v>12155224.550000001</v>
      </c>
      <c r="P119" s="7"/>
      <c r="Q119" s="6"/>
    </row>
    <row r="120" spans="1:17">
      <c r="A120" s="84" t="s">
        <v>142</v>
      </c>
      <c r="B120" s="78">
        <v>-3</v>
      </c>
      <c r="C120" s="78" t="s">
        <v>143</v>
      </c>
      <c r="D120" s="125">
        <f>IFERROR(VLOOKUP($A120,'Balancete 2015'!$A:$D,4,0),"0")+O120</f>
        <v>12591760.57</v>
      </c>
      <c r="E120" s="78"/>
      <c r="F120" s="78"/>
      <c r="G120" s="78"/>
      <c r="H120" s="78"/>
      <c r="I120" s="125">
        <f>IFERROR(VLOOKUP($A120,'Balancete 2016'!$A:$D,4,0),"0")</f>
        <v>3082213.58</v>
      </c>
      <c r="J120" s="6"/>
      <c r="K120" s="57"/>
      <c r="M120" s="87" t="str">
        <f>VLOOKUP(A120,'1 sem.15'!A:D,1,0)</f>
        <v>8.1.9.99.50</v>
      </c>
      <c r="N120" s="88" t="str">
        <f>VLOOKUP(A120,'1 sem.15'!A:D,3,0)</f>
        <v>OUTRAS DESPESAS OPERACIONAIS</v>
      </c>
      <c r="O120" s="88">
        <f>VLOOKUP(A120,'1 sem.15'!A:D,4,0)</f>
        <v>12155224.550000001</v>
      </c>
      <c r="P120" s="7"/>
      <c r="Q120" s="6"/>
    </row>
    <row r="121" spans="1:17" s="93" customFormat="1">
      <c r="A121" s="84" t="s">
        <v>144</v>
      </c>
      <c r="B121" s="78">
        <v>-1</v>
      </c>
      <c r="C121" s="78" t="s">
        <v>501</v>
      </c>
      <c r="D121" s="125">
        <f>IFERROR(VLOOKUP($A121,'Balancete 2015'!$A:$D,4,0),"0")+O121</f>
        <v>538.94000000000005</v>
      </c>
      <c r="E121" s="78">
        <v>600</v>
      </c>
      <c r="F121" s="78">
        <v>100</v>
      </c>
      <c r="G121" s="78"/>
      <c r="H121" s="78">
        <v>100</v>
      </c>
      <c r="I121" s="125">
        <f>IFERROR(VLOOKUP($A121,'Balancete 2016'!$A:$D,4,0),"0")</f>
        <v>917.26</v>
      </c>
      <c r="J121" s="95"/>
      <c r="K121" s="57"/>
      <c r="M121" s="87" t="str">
        <f>+A121</f>
        <v>8.1.9.99.50.01</v>
      </c>
      <c r="N121" s="161" t="str">
        <f>+C121</f>
        <v>DESP OPER - TARIFAS BANCARIAS/CAIXAPAR</v>
      </c>
      <c r="O121" s="161">
        <v>0</v>
      </c>
      <c r="P121" s="100"/>
      <c r="Q121" s="95"/>
    </row>
    <row r="122" spans="1:17" s="93" customFormat="1">
      <c r="A122" s="84" t="s">
        <v>502</v>
      </c>
      <c r="B122" s="78">
        <v>0</v>
      </c>
      <c r="C122" s="78" t="s">
        <v>503</v>
      </c>
      <c r="D122" s="125">
        <f>IFERROR(VLOOKUP($A122,'Balancete 2015'!$A:$D,4,0),"0")+O122</f>
        <v>15196.39</v>
      </c>
      <c r="E122" s="78">
        <v>600</v>
      </c>
      <c r="F122" s="78">
        <v>100</v>
      </c>
      <c r="G122" s="78"/>
      <c r="H122" s="78">
        <v>100</v>
      </c>
      <c r="I122" s="125">
        <f>IFERROR(VLOOKUP($A122,'Balancete 2016'!$A:$D,4,0),"0")</f>
        <v>7853.7</v>
      </c>
      <c r="J122" s="95"/>
      <c r="K122" s="57"/>
      <c r="M122" s="87" t="str">
        <f>VLOOKUP(A122,'1 sem.15'!A:D,1,0)</f>
        <v>8.1.9.99.50.02</v>
      </c>
      <c r="N122" s="161" t="str">
        <f>VLOOKUP(A122,'1 sem.15'!A:D,3,0)</f>
        <v>DESP OPER - ATUAL MONET OBRIG/CAIXAPAR</v>
      </c>
      <c r="O122" s="161">
        <f>VLOOKUP(A122,'1 sem.15'!A:D,4,0)</f>
        <v>15196.39</v>
      </c>
      <c r="P122" s="100"/>
      <c r="Q122" s="95"/>
    </row>
    <row r="123" spans="1:17" s="93" customFormat="1">
      <c r="A123" s="84" t="s">
        <v>338</v>
      </c>
      <c r="B123" s="78">
        <v>-8</v>
      </c>
      <c r="C123" s="78" t="s">
        <v>504</v>
      </c>
      <c r="D123" s="125">
        <f>IFERROR(VLOOKUP($A123,'Balancete 2015'!$A:$D,4,0),"0")+O123</f>
        <v>11692228.73</v>
      </c>
      <c r="E123" s="78">
        <v>800</v>
      </c>
      <c r="F123" s="78"/>
      <c r="G123" s="78"/>
      <c r="H123" s="78"/>
      <c r="I123" s="125">
        <f>IFERROR(VLOOKUP($A123,'Balancete 2016'!$A:$D,4,0),"0")</f>
        <v>1984034.76</v>
      </c>
      <c r="J123" s="95"/>
      <c r="K123" s="57"/>
      <c r="M123" s="87" t="str">
        <f>VLOOKUP(A123,'1 sem.15'!A:D,1,0)</f>
        <v>8.1.9.99.50.03</v>
      </c>
      <c r="N123" s="161" t="str">
        <f>VLOOKUP(A123,'1 sem.15'!A:D,3,0)</f>
        <v>DESP OPER - ATUAL MONET DIVIDENDOS/CAIXAPAR</v>
      </c>
      <c r="O123" s="161">
        <f>VLOOKUP(A123,'1 sem.15'!A:D,4,0)</f>
        <v>11692228.73</v>
      </c>
      <c r="P123" s="100"/>
      <c r="Q123" s="95"/>
    </row>
    <row r="124" spans="1:17" s="93" customFormat="1">
      <c r="A124" s="84" t="s">
        <v>145</v>
      </c>
      <c r="B124" s="78">
        <v>-6</v>
      </c>
      <c r="C124" s="78" t="s">
        <v>505</v>
      </c>
      <c r="D124" s="125">
        <f>IFERROR(VLOOKUP($A124,'Balancete 2015'!$A:$D,4,0),"0")+O124</f>
        <v>12677.59</v>
      </c>
      <c r="E124" s="78">
        <v>600</v>
      </c>
      <c r="F124" s="78">
        <v>100</v>
      </c>
      <c r="G124" s="78"/>
      <c r="H124" s="78">
        <v>100</v>
      </c>
      <c r="I124" s="125">
        <f>IFERROR(VLOOKUP($A124,'Balancete 2016'!$A:$D,4,0),"0")</f>
        <v>12897.18</v>
      </c>
      <c r="J124" s="95"/>
      <c r="K124" s="57"/>
      <c r="M124" s="87" t="str">
        <f>VLOOKUP(A124,'1 sem.15'!A:D,1,0)</f>
        <v>8.1.9.99.50.04</v>
      </c>
      <c r="N124" s="161" t="str">
        <f>VLOOKUP(A124,'1 sem.15'!A:D,3,0)</f>
        <v>DESP OPER - MULTAS S/ RECOLH ATRASO/CAIXAPAR</v>
      </c>
      <c r="O124" s="161">
        <f>VLOOKUP(A124,'1 sem.15'!A:D,4,0)</f>
        <v>12677.59</v>
      </c>
      <c r="P124" s="100"/>
      <c r="Q124" s="95"/>
    </row>
    <row r="125" spans="1:17" s="93" customFormat="1">
      <c r="A125" s="84" t="s">
        <v>146</v>
      </c>
      <c r="B125" s="78">
        <v>-4</v>
      </c>
      <c r="C125" s="78" t="s">
        <v>506</v>
      </c>
      <c r="D125" s="125">
        <f>IFERROR(VLOOKUP($A125,'Balancete 2015'!$A:$D,4,0),"0")+O125</f>
        <v>871118.92</v>
      </c>
      <c r="E125" s="78">
        <v>600</v>
      </c>
      <c r="F125" s="78">
        <v>100</v>
      </c>
      <c r="G125" s="78"/>
      <c r="H125" s="78"/>
      <c r="I125" s="125">
        <f>IFERROR(VLOOKUP($A125,'Balancete 2016'!$A:$D,4,0),"0")</f>
        <v>1076510.68</v>
      </c>
      <c r="J125" s="95"/>
      <c r="K125" s="57"/>
      <c r="M125" s="87" t="str">
        <f>VLOOKUP(A125,'1 sem.15'!A:D,1,0)</f>
        <v>8.1.9.99.50.05</v>
      </c>
      <c r="N125" s="161" t="str">
        <f>VLOOKUP(A125,'1 sem.15'!A:D,3,0)</f>
        <v>DESP OPER - COMPARTILH SERV CAIXA/CAIXAPAR</v>
      </c>
      <c r="O125" s="161">
        <f>VLOOKUP(A125,'1 sem.15'!A:D,4,0)</f>
        <v>435121.84</v>
      </c>
      <c r="P125" s="100"/>
      <c r="Q125" s="95"/>
    </row>
    <row r="126" spans="1:17">
      <c r="A126" s="84" t="s">
        <v>147</v>
      </c>
      <c r="B126" s="78">
        <v>-7</v>
      </c>
      <c r="C126" s="78" t="s">
        <v>148</v>
      </c>
      <c r="D126" s="125">
        <f>IFERROR(VLOOKUP($A126,'Balancete 2015'!$A:$D,4,0),"0")+O126</f>
        <v>51602662.82</v>
      </c>
      <c r="E126" s="78"/>
      <c r="F126" s="78"/>
      <c r="G126" s="78"/>
      <c r="H126" s="78"/>
      <c r="I126" s="125">
        <f>IFERROR(VLOOKUP($A126,'Balancete 2016'!$A:$D,4,0),"0")</f>
        <v>32041959.66</v>
      </c>
      <c r="J126" s="6"/>
      <c r="K126" s="57"/>
      <c r="M126" s="87" t="str">
        <f>VLOOKUP(A126,'1 sem.15'!A:D,1,0)</f>
        <v>8.9</v>
      </c>
      <c r="N126" s="88" t="str">
        <f>VLOOKUP(A126,'1 sem.15'!A:D,3,0)</f>
        <v>APURACAO DE RESULTADO</v>
      </c>
      <c r="O126" s="88">
        <f>VLOOKUP(A126,'1 sem.15'!A:D,4,0)</f>
        <v>37070810.490000002</v>
      </c>
      <c r="P126" s="7"/>
      <c r="Q126" s="6"/>
    </row>
    <row r="127" spans="1:17">
      <c r="A127" s="84" t="s">
        <v>149</v>
      </c>
      <c r="B127" s="78">
        <v>0</v>
      </c>
      <c r="C127" s="78" t="s">
        <v>150</v>
      </c>
      <c r="D127" s="125">
        <f>IFERROR(VLOOKUP($A127,'Balancete 2015'!$A:$D,4,0),"0")+O127</f>
        <v>51602662.82</v>
      </c>
      <c r="E127" s="78"/>
      <c r="F127" s="78"/>
      <c r="G127" s="78"/>
      <c r="H127" s="78"/>
      <c r="I127" s="125">
        <f>IFERROR(VLOOKUP($A127,'Balancete 2016'!$A:$D,4,0),"0")</f>
        <v>31667586.23</v>
      </c>
      <c r="J127" s="6"/>
      <c r="K127" s="57"/>
      <c r="M127" s="87" t="str">
        <f>VLOOKUP(A127,'1 sem.15'!A:D,1,0)</f>
        <v>8.9.4</v>
      </c>
      <c r="N127" s="88" t="str">
        <f>VLOOKUP(A127,'1 sem.15'!A:D,3,0)</f>
        <v>IMPOSTO DE RENDA</v>
      </c>
      <c r="O127" s="88">
        <f>VLOOKUP(A127,'1 sem.15'!A:D,4,0)</f>
        <v>37070810.490000002</v>
      </c>
      <c r="P127" s="7"/>
      <c r="Q127" s="6"/>
    </row>
    <row r="128" spans="1:17">
      <c r="A128" s="84" t="s">
        <v>151</v>
      </c>
      <c r="B128" s="78">
        <v>-3</v>
      </c>
      <c r="C128" s="78" t="s">
        <v>150</v>
      </c>
      <c r="D128" s="125">
        <f>IFERROR(VLOOKUP($A128,'Balancete 2015'!$A:$D,4,0),"0")+O128</f>
        <v>37916182.969999999</v>
      </c>
      <c r="E128" s="78"/>
      <c r="F128" s="78"/>
      <c r="G128" s="78"/>
      <c r="H128" s="78"/>
      <c r="I128" s="125">
        <f>IFERROR(VLOOKUP($A128,'Balancete 2016'!$A:$D,4,0),"0")</f>
        <v>23278636.93</v>
      </c>
      <c r="J128" s="6"/>
      <c r="K128" s="57"/>
      <c r="M128" s="87" t="str">
        <f>VLOOKUP(A128,'1 sem.15'!A:D,1,0)</f>
        <v>8.9.4.10</v>
      </c>
      <c r="N128" s="88" t="str">
        <f>VLOOKUP(A128,'1 sem.15'!A:D,3,0)</f>
        <v>IMPOSTO DE RENDA</v>
      </c>
      <c r="O128" s="88">
        <f>VLOOKUP(A128,'1 sem.15'!A:D,4,0)</f>
        <v>27234173.899999999</v>
      </c>
      <c r="P128" s="7"/>
    </row>
    <row r="129" spans="1:16">
      <c r="A129" s="84" t="s">
        <v>341</v>
      </c>
      <c r="B129" s="78">
        <v>-5</v>
      </c>
      <c r="C129" s="78" t="s">
        <v>507</v>
      </c>
      <c r="D129" s="125">
        <f>IFERROR(VLOOKUP($A129,'Balancete 2015'!$A:$D,4,0),"0")+O129</f>
        <v>37928889.049999997</v>
      </c>
      <c r="E129" s="78"/>
      <c r="F129" s="78"/>
      <c r="G129" s="78"/>
      <c r="H129" s="78"/>
      <c r="I129" s="125">
        <f>IFERROR(VLOOKUP($A129,'Balancete 2016'!$A:$D,4,0),"0")</f>
        <v>23280172.079999998</v>
      </c>
      <c r="J129" s="6"/>
      <c r="K129" s="57"/>
      <c r="M129" s="87" t="str">
        <f>VLOOKUP(A129,'1 sem.15'!A:D,1,0)</f>
        <v>8.9.4.10.11</v>
      </c>
      <c r="N129" s="88" t="str">
        <f>VLOOKUP(A129,'1 sem.15'!A:D,3,0)</f>
        <v>IMPOSTO DE RENDA</v>
      </c>
      <c r="O129" s="88">
        <f>VLOOKUP(A129,'1 sem.15'!A:D,4,0)</f>
        <v>27245273.91</v>
      </c>
      <c r="P129" s="7"/>
    </row>
    <row r="130" spans="1:16" s="93" customFormat="1">
      <c r="A130" s="84" t="s">
        <v>152</v>
      </c>
      <c r="B130" s="78">
        <v>-3</v>
      </c>
      <c r="C130" s="78" t="s">
        <v>507</v>
      </c>
      <c r="D130" s="125">
        <f>IFERROR(VLOOKUP($A130,'Balancete 2015'!$A:$D,4,0),"0")+O130</f>
        <v>37928889.049999997</v>
      </c>
      <c r="E130" s="78">
        <v>900</v>
      </c>
      <c r="F130" s="78"/>
      <c r="G130" s="78"/>
      <c r="H130" s="78"/>
      <c r="I130" s="125">
        <f>IFERROR(VLOOKUP($A130,'Balancete 2016'!$A:$D,4,0),"0")</f>
        <v>23280172.079999998</v>
      </c>
      <c r="J130" s="95"/>
      <c r="K130" s="57"/>
      <c r="M130" s="87" t="str">
        <f>VLOOKUP(A130,'1 sem.15'!A:D,1,0)</f>
        <v>8.9.4.10.11.01</v>
      </c>
      <c r="N130" s="161" t="str">
        <f>VLOOKUP(A130,'1 sem.15'!A:D,3,0)</f>
        <v>IMPOSTO DE RENDA</v>
      </c>
      <c r="O130" s="161">
        <f>VLOOKUP(A130,'1 sem.15'!A:D,4,0)</f>
        <v>27245273.91</v>
      </c>
      <c r="P130" s="100"/>
    </row>
    <row r="131" spans="1:16">
      <c r="A131" s="77" t="s">
        <v>763</v>
      </c>
      <c r="B131" s="78"/>
      <c r="C131" s="78" t="s">
        <v>764</v>
      </c>
      <c r="D131" s="125">
        <f>IFERROR(VLOOKUP($A131,'Balancete 2015'!$A:$D,4,0),"0")+O131</f>
        <v>0</v>
      </c>
      <c r="E131" s="78"/>
      <c r="F131" s="78"/>
      <c r="G131" s="78"/>
      <c r="H131" s="78"/>
      <c r="I131" s="125" t="str">
        <f>IFERROR(VLOOKUP($A131,'Balancete 2016'!$A:$D,4,0),"0")</f>
        <v>0</v>
      </c>
      <c r="J131" s="6"/>
      <c r="K131" s="57"/>
      <c r="M131" s="87" t="str">
        <f>+A131</f>
        <v>8.9.4.10.11.02</v>
      </c>
      <c r="N131" s="88" t="str">
        <f>+C131</f>
        <v>IMPOSTO DE RENDA do EXERCICIO CISÃO /CAIXAPAR</v>
      </c>
      <c r="O131" s="88">
        <v>0</v>
      </c>
      <c r="P131" s="7"/>
    </row>
    <row r="132" spans="1:16">
      <c r="A132" s="84" t="s">
        <v>508</v>
      </c>
      <c r="B132" s="78">
        <v>-4</v>
      </c>
      <c r="C132" s="78" t="s">
        <v>603</v>
      </c>
      <c r="D132" s="125">
        <f>IFERROR(VLOOKUP($A132,'Balancete 2015'!$A:$D,4,0),"0")+O132</f>
        <v>0</v>
      </c>
      <c r="E132" s="78"/>
      <c r="F132" s="78"/>
      <c r="G132" s="78"/>
      <c r="H132" s="78"/>
      <c r="I132" s="125" t="str">
        <f>IFERROR(VLOOKUP($A132,'Balancete 2016'!$A:$D,4,0),"0")</f>
        <v>0</v>
      </c>
      <c r="J132" s="6"/>
      <c r="K132" s="57"/>
      <c r="M132" s="87" t="str">
        <f>+A132</f>
        <v>8.9.4.10.20</v>
      </c>
      <c r="N132" s="88" t="str">
        <f>+C132</f>
        <v>PROVISAO IR - VALORES DIFERIDOS</v>
      </c>
      <c r="O132" s="88">
        <v>0</v>
      </c>
      <c r="P132" s="7"/>
    </row>
    <row r="133" spans="1:16" s="93" customFormat="1">
      <c r="A133" s="84" t="s">
        <v>509</v>
      </c>
      <c r="B133" s="78">
        <v>-5</v>
      </c>
      <c r="C133" s="78" t="s">
        <v>510</v>
      </c>
      <c r="D133" s="125">
        <f>IFERROR(VLOOKUP($A133,'Balancete 2015'!$A:$D,4,0),"0")+O133</f>
        <v>0</v>
      </c>
      <c r="E133" s="78">
        <v>910</v>
      </c>
      <c r="F133" s="78"/>
      <c r="G133" s="78"/>
      <c r="H133" s="78"/>
      <c r="I133" s="125" t="str">
        <f>IFERROR(VLOOKUP($A133,'Balancete 2016'!$A:$D,4,0),"0")</f>
        <v>0</v>
      </c>
      <c r="J133" s="95"/>
      <c r="K133" s="57"/>
      <c r="M133" s="87" t="str">
        <f>+A133</f>
        <v>8.9.4.10.20.05</v>
      </c>
      <c r="N133" s="161" t="str">
        <f>+C133</f>
        <v>PASSIVO FISCAL DIFERIDO DE IRPJ/CAIXAPAR</v>
      </c>
      <c r="O133" s="161">
        <v>0</v>
      </c>
      <c r="P133" s="100"/>
    </row>
    <row r="134" spans="1:16">
      <c r="A134" s="84" t="s">
        <v>153</v>
      </c>
      <c r="B134" s="78">
        <v>-6</v>
      </c>
      <c r="C134" s="78" t="s">
        <v>511</v>
      </c>
      <c r="D134" s="125">
        <f>IFERROR(VLOOKUP($A134,'Balancete 2015'!$A:$D,4,0),"0")+O134</f>
        <v>-12706.08</v>
      </c>
      <c r="E134" s="78"/>
      <c r="F134" s="78"/>
      <c r="G134" s="78"/>
      <c r="H134" s="78"/>
      <c r="I134" s="125">
        <f>IFERROR(VLOOKUP($A134,'Balancete 2016'!$A:$D,4,0),"0")</f>
        <v>-1535.15</v>
      </c>
      <c r="J134" s="6"/>
      <c r="K134" s="57"/>
      <c r="M134" s="87" t="str">
        <f>VLOOKUP(A134,'1 sem.15'!A:D,1,0)</f>
        <v>8.9.4.10.31</v>
      </c>
      <c r="N134" s="88" t="str">
        <f>VLOOKUP(A134,'1 sem.15'!A:D,3,0)</f>
        <v>ATIVO FISCAL DIFERIDO/CAIXAPAR</v>
      </c>
      <c r="O134" s="88">
        <f>VLOOKUP(A134,'1 sem.15'!A:D,4,0)</f>
        <v>-11100.01</v>
      </c>
      <c r="P134" s="7"/>
    </row>
    <row r="135" spans="1:16" s="93" customFormat="1">
      <c r="A135" s="84" t="s">
        <v>343</v>
      </c>
      <c r="B135" s="78">
        <v>-4</v>
      </c>
      <c r="C135" s="78" t="s">
        <v>512</v>
      </c>
      <c r="D135" s="125">
        <f>IFERROR(VLOOKUP($A135,'Balancete 2015'!$A:$D,4,0),"0")+O135</f>
        <v>-12706.08</v>
      </c>
      <c r="E135" s="78">
        <v>910</v>
      </c>
      <c r="F135" s="78"/>
      <c r="G135" s="78"/>
      <c r="H135" s="78"/>
      <c r="I135" s="125">
        <f>IFERROR(VLOOKUP($A135,'Balancete 2016'!$A:$D,4,0),"0")</f>
        <v>-1535.15</v>
      </c>
      <c r="J135" s="95"/>
      <c r="K135" s="57"/>
      <c r="M135" s="87" t="str">
        <f>VLOOKUP(A135,'1 sem.15'!A:D,1,0)</f>
        <v>8.9.4.10.31.01</v>
      </c>
      <c r="N135" s="161" t="str">
        <f>VLOOKUP(A135,'1 sem.15'!A:D,3,0)</f>
        <v>DIFERENCAS TEMPORARIAS - IRPJ/CAIXAPAR</v>
      </c>
      <c r="O135" s="161">
        <f>VLOOKUP(A135,'1 sem.15'!A:D,4,0)</f>
        <v>-11100.01</v>
      </c>
      <c r="P135" s="100"/>
    </row>
    <row r="136" spans="1:16">
      <c r="A136" s="84" t="s">
        <v>154</v>
      </c>
      <c r="B136" s="78">
        <v>-7</v>
      </c>
      <c r="C136" s="78" t="s">
        <v>155</v>
      </c>
      <c r="D136" s="125">
        <f>IFERROR(VLOOKUP($A136,'Balancete 2015'!$A:$D,4,0),"0")+O136</f>
        <v>13686479.85</v>
      </c>
      <c r="E136" s="78"/>
      <c r="F136" s="78"/>
      <c r="G136" s="78"/>
      <c r="H136" s="78"/>
      <c r="I136" s="125">
        <f>IFERROR(VLOOKUP($A136,'Balancete 2016'!$A:$D,4,0),"0")</f>
        <v>8388949.3000000007</v>
      </c>
      <c r="J136" s="6"/>
      <c r="K136" s="57"/>
      <c r="M136" s="87" t="str">
        <f>VLOOKUP(A136,'1 sem.15'!A:D,1,0)</f>
        <v>8.9.4.20</v>
      </c>
      <c r="N136" s="88" t="str">
        <f>VLOOKUP(A136,'1 sem.15'!A:D,3,0)</f>
        <v>CONTRIBUICAO SOCIAL</v>
      </c>
      <c r="O136" s="88">
        <f>VLOOKUP(A136,'1 sem.15'!A:D,4,0)</f>
        <v>9836636.5899999999</v>
      </c>
      <c r="P136" s="7"/>
    </row>
    <row r="137" spans="1:16">
      <c r="A137" s="84" t="s">
        <v>342</v>
      </c>
      <c r="B137" s="78">
        <v>-9</v>
      </c>
      <c r="C137" s="78" t="s">
        <v>513</v>
      </c>
      <c r="D137" s="125">
        <f>IFERROR(VLOOKUP($A137,'Balancete 2015'!$A:$D,4,0),"0")+O137</f>
        <v>13691054.039999999</v>
      </c>
      <c r="E137" s="78"/>
      <c r="F137" s="78"/>
      <c r="G137" s="78"/>
      <c r="H137" s="78"/>
      <c r="I137" s="125">
        <f>IFERROR(VLOOKUP($A137,'Balancete 2016'!$A:$D,4,0),"0")</f>
        <v>8389501.9499999993</v>
      </c>
      <c r="J137" s="6"/>
      <c r="K137" s="57"/>
      <c r="M137" s="87" t="str">
        <f>VLOOKUP(A137,'1 sem.15'!A:D,1,0)</f>
        <v>8.9.4.20.11</v>
      </c>
      <c r="N137" s="88" t="str">
        <f>VLOOKUP(A137,'1 sem.15'!A:D,3,0)</f>
        <v>CONTRIBUICAO SOCIAL</v>
      </c>
      <c r="O137" s="88">
        <f>VLOOKUP(A137,'1 sem.15'!A:D,4,0)</f>
        <v>9840632.5899999999</v>
      </c>
      <c r="P137" s="7"/>
    </row>
    <row r="138" spans="1:16" s="93" customFormat="1">
      <c r="A138" s="84" t="s">
        <v>156</v>
      </c>
      <c r="B138" s="78">
        <v>-7</v>
      </c>
      <c r="C138" s="78" t="s">
        <v>513</v>
      </c>
      <c r="D138" s="125">
        <f>IFERROR(VLOOKUP($A138,'Balancete 2015'!$A:$D,4,0),"0")+O138</f>
        <v>13661899.07</v>
      </c>
      <c r="E138" s="78">
        <v>900</v>
      </c>
      <c r="F138" s="78"/>
      <c r="G138" s="78"/>
      <c r="H138" s="78"/>
      <c r="I138" s="125">
        <f>IFERROR(VLOOKUP($A138,'Balancete 2016'!$A:$D,4,0),"0")</f>
        <v>8389501.9499999993</v>
      </c>
      <c r="J138" s="95"/>
      <c r="K138" s="57"/>
      <c r="M138" s="87" t="str">
        <f>VLOOKUP(A138,'1 sem.15'!A:D,1,0)</f>
        <v>8.9.4.20.11.01</v>
      </c>
      <c r="N138" s="161" t="str">
        <f>VLOOKUP(A138,'1 sem.15'!A:D,3,0)</f>
        <v>CONTRIBUICAO SOCIAL</v>
      </c>
      <c r="O138" s="161">
        <f>VLOOKUP(A138,'1 sem.15'!A:D,4,0)</f>
        <v>9811477.6199999992</v>
      </c>
      <c r="P138" s="100"/>
    </row>
    <row r="139" spans="1:16" s="93" customFormat="1">
      <c r="A139" s="77" t="s">
        <v>765</v>
      </c>
      <c r="B139" s="78">
        <v>5</v>
      </c>
      <c r="C139" s="78" t="s">
        <v>766</v>
      </c>
      <c r="D139" s="125">
        <f>IFERROR(VLOOKUP($A139,'Balancete 2015'!$A:$D,4,0),"0")+O139</f>
        <v>29154.97</v>
      </c>
      <c r="E139" s="78">
        <v>900</v>
      </c>
      <c r="F139" s="78"/>
      <c r="G139" s="78"/>
      <c r="H139" s="78"/>
      <c r="I139" s="125" t="str">
        <f>IFERROR(VLOOKUP($A139,'Balancete 2016'!$A:$D,4,0),"0")</f>
        <v>0</v>
      </c>
      <c r="J139" s="95"/>
      <c r="K139" s="57"/>
      <c r="M139" s="87" t="str">
        <f>VLOOKUP(A139,'1 sem.15'!A:D,1,0)</f>
        <v>8.9.4.20.11.02</v>
      </c>
      <c r="N139" s="161" t="str">
        <f>VLOOKUP(A139,'1 sem.15'!A:D,3,0)</f>
        <v>CONTRIBUICAO SOCIAL EXERCICIO ANTERIORES</v>
      </c>
      <c r="O139" s="161">
        <f>VLOOKUP(A139,'1 sem.15'!A:D,4,0)</f>
        <v>29154.97</v>
      </c>
      <c r="P139" s="100"/>
    </row>
    <row r="140" spans="1:16">
      <c r="A140" s="77" t="s">
        <v>767</v>
      </c>
      <c r="B140" s="78"/>
      <c r="C140" s="78" t="s">
        <v>768</v>
      </c>
      <c r="D140" s="125">
        <f>IFERROR(VLOOKUP($A140,'Balancete 2015'!$A:$D,4,0),"0")+O140</f>
        <v>0</v>
      </c>
      <c r="E140" s="78"/>
      <c r="F140" s="78"/>
      <c r="G140" s="78"/>
      <c r="H140" s="78"/>
      <c r="I140" s="125" t="str">
        <f>IFERROR(VLOOKUP($A140,'Balancete 2016'!$A:$D,4,0),"0")</f>
        <v>0</v>
      </c>
      <c r="J140" s="6"/>
      <c r="K140" s="57"/>
      <c r="M140" s="87" t="str">
        <f>+A140</f>
        <v>8.9.4.20.11.06</v>
      </c>
      <c r="N140" s="88" t="str">
        <f>+C140</f>
        <v>CONTRIBUIÇAO SOCIAL - CISÃO</v>
      </c>
      <c r="O140" s="88">
        <v>0</v>
      </c>
      <c r="P140" s="7"/>
    </row>
    <row r="141" spans="1:16" s="93" customFormat="1">
      <c r="A141" s="84" t="s">
        <v>514</v>
      </c>
      <c r="B141" s="78">
        <v>-8</v>
      </c>
      <c r="C141" s="78" t="s">
        <v>604</v>
      </c>
      <c r="D141" s="125">
        <f>IFERROR(VLOOKUP($A141,'Balancete 2015'!$A:$D,4,0),"0")+O141</f>
        <v>0</v>
      </c>
      <c r="E141" s="78">
        <v>910</v>
      </c>
      <c r="F141" s="78"/>
      <c r="G141" s="78"/>
      <c r="H141" s="78"/>
      <c r="I141" s="125" t="str">
        <f>IFERROR(VLOOKUP($A141,'Balancete 2016'!$A:$D,4,0),"0")</f>
        <v>0</v>
      </c>
      <c r="J141" s="95"/>
      <c r="K141" s="83"/>
      <c r="M141" s="87" t="str">
        <f>+A141</f>
        <v>8.9.4.20.20</v>
      </c>
      <c r="N141" s="161" t="str">
        <f>+C141</f>
        <v>PROVISAO PARA CSLL - VALORES DIFERIDOS</v>
      </c>
      <c r="O141" s="161">
        <v>0</v>
      </c>
      <c r="P141" s="100"/>
    </row>
    <row r="142" spans="1:16">
      <c r="A142" s="84" t="s">
        <v>515</v>
      </c>
      <c r="B142" s="78">
        <v>-9</v>
      </c>
      <c r="C142" s="78" t="s">
        <v>516</v>
      </c>
      <c r="D142" s="125">
        <f>IFERROR(VLOOKUP($A142,'Balancete 2015'!$A:$D,4,0),"0")+O142</f>
        <v>0</v>
      </c>
      <c r="E142" s="78"/>
      <c r="F142" s="78"/>
      <c r="G142" s="78"/>
      <c r="H142" s="78"/>
      <c r="I142" s="125" t="str">
        <f>IFERROR(VLOOKUP($A142,'Balancete 2016'!$A:$D,4,0),"0")</f>
        <v>0</v>
      </c>
      <c r="J142" s="6"/>
      <c r="K142" s="57"/>
      <c r="M142" s="87" t="str">
        <f>+A142</f>
        <v>8.9.4.20.20.05</v>
      </c>
      <c r="N142" s="88" t="str">
        <f>+C142</f>
        <v>PASSIVO FISCAL DIFERIDO DE CSLL/CAIXAPAR</v>
      </c>
      <c r="O142" s="88">
        <v>0</v>
      </c>
      <c r="P142" s="7"/>
    </row>
    <row r="143" spans="1:16" s="93" customFormat="1">
      <c r="A143" s="84" t="s">
        <v>157</v>
      </c>
      <c r="B143" s="78">
        <v>0</v>
      </c>
      <c r="C143" s="78" t="s">
        <v>517</v>
      </c>
      <c r="D143" s="125">
        <f>IFERROR(VLOOKUP($A143,'Balancete 2015'!$A:$D,4,0),"0")+O143</f>
        <v>-4574.1900000000005</v>
      </c>
      <c r="E143" s="78">
        <v>910</v>
      </c>
      <c r="F143" s="78"/>
      <c r="G143" s="78"/>
      <c r="H143" s="78"/>
      <c r="I143" s="125">
        <f>IFERROR(VLOOKUP($A143,'Balancete 2016'!$A:$D,4,0),"0")</f>
        <v>-552.65</v>
      </c>
      <c r="J143" s="95"/>
      <c r="K143" s="57"/>
      <c r="M143" s="87" t="str">
        <f>VLOOKUP(A143,'1 sem.15'!A:D,1,0)</f>
        <v>8.9.4.20.31</v>
      </c>
      <c r="N143" s="161" t="str">
        <f>VLOOKUP(A143,'1 sem.15'!A:D,3,0)</f>
        <v>ATIVO FISCAL DIFERIDO - CSLL/CAIXAPAR</v>
      </c>
      <c r="O143" s="161">
        <f>VLOOKUP(A143,'1 sem.15'!A:D,4,0)</f>
        <v>-3996</v>
      </c>
      <c r="P143" s="100"/>
    </row>
    <row r="144" spans="1:16">
      <c r="A144" s="84" t="s">
        <v>344</v>
      </c>
      <c r="B144" s="78">
        <v>-8</v>
      </c>
      <c r="C144" s="78" t="s">
        <v>518</v>
      </c>
      <c r="D144" s="125">
        <f>IFERROR(VLOOKUP($A144,'Balancete 2015'!$A:$D,4,0),"0")+O144</f>
        <v>-4574.1900000000005</v>
      </c>
      <c r="E144" s="78"/>
      <c r="F144" s="78"/>
      <c r="G144" s="78"/>
      <c r="H144" s="78"/>
      <c r="I144" s="125">
        <f>IFERROR(VLOOKUP($A144,'Balancete 2016'!$A:$D,4,0),"0")</f>
        <v>-552.65</v>
      </c>
      <c r="J144" s="6"/>
      <c r="K144" s="57"/>
      <c r="M144" s="87" t="str">
        <f>VLOOKUP(A144,'1 sem.15'!A:D,1,0)</f>
        <v>8.9.4.20.31.01</v>
      </c>
      <c r="N144" s="88" t="str">
        <f>VLOOKUP(A144,'1 sem.15'!A:D,3,0)</f>
        <v>DIFERENCAS TEMPORARIAS CSLL/CAIXAPAR</v>
      </c>
      <c r="O144" s="88">
        <f>VLOOKUP(A144,'1 sem.15'!A:D,4,0)</f>
        <v>-3996</v>
      </c>
      <c r="P144" s="7"/>
    </row>
    <row r="145" spans="1:16">
      <c r="A145" s="89" t="s">
        <v>1067</v>
      </c>
      <c r="B145" s="89">
        <v>-4</v>
      </c>
      <c r="C145" s="89" t="s">
        <v>1068</v>
      </c>
      <c r="D145" s="125"/>
      <c r="E145" s="78"/>
      <c r="F145" s="78">
        <v>950</v>
      </c>
      <c r="G145" s="78">
        <v>950</v>
      </c>
      <c r="H145" s="78"/>
      <c r="I145" s="125">
        <f>IFERROR(VLOOKUP($A145,'Balancete 2016'!$A:$D,4,0),"0")</f>
        <v>374373.43</v>
      </c>
      <c r="J145" s="6"/>
      <c r="K145" s="57"/>
      <c r="M145" s="87"/>
      <c r="N145" s="88"/>
      <c r="O145" s="88"/>
      <c r="P145" s="7"/>
    </row>
    <row r="146" spans="1:16">
      <c r="A146" s="89" t="s">
        <v>1069</v>
      </c>
      <c r="B146" s="89">
        <v>-8</v>
      </c>
      <c r="C146" s="89" t="s">
        <v>1068</v>
      </c>
      <c r="D146" s="125"/>
      <c r="E146" s="78"/>
      <c r="F146" s="78"/>
      <c r="G146" s="78"/>
      <c r="H146" s="78"/>
      <c r="I146" s="125">
        <f>IFERROR(VLOOKUP($A146,'Balancete 2016'!$A:$D,4,0),"0")</f>
        <v>374373.43</v>
      </c>
      <c r="J146" s="6"/>
      <c r="K146" s="57"/>
      <c r="M146" s="87"/>
      <c r="N146" s="88"/>
      <c r="O146" s="88"/>
      <c r="P146" s="7"/>
    </row>
    <row r="147" spans="1:16">
      <c r="A147" s="89" t="s">
        <v>1070</v>
      </c>
      <c r="B147" s="89">
        <v>-3</v>
      </c>
      <c r="C147" s="89" t="s">
        <v>1068</v>
      </c>
      <c r="D147" s="125"/>
      <c r="E147" s="78">
        <v>950</v>
      </c>
      <c r="F147" s="78"/>
      <c r="G147" s="78"/>
      <c r="H147" s="78"/>
      <c r="I147" s="125">
        <f>IFERROR(VLOOKUP($A147,'Balancete 2016'!$A:$D,4,0),"0")</f>
        <v>374373.43</v>
      </c>
      <c r="J147" s="6"/>
      <c r="K147" s="57"/>
      <c r="M147" s="87"/>
      <c r="N147" s="88"/>
      <c r="O147" s="88"/>
      <c r="P147" s="7"/>
    </row>
    <row r="148" spans="1:16">
      <c r="A148" s="89" t="s">
        <v>1071</v>
      </c>
      <c r="B148" s="89">
        <v>-9</v>
      </c>
      <c r="C148" s="89" t="s">
        <v>1072</v>
      </c>
      <c r="D148" s="125"/>
      <c r="E148" s="78"/>
      <c r="F148" s="78"/>
      <c r="G148" s="78"/>
      <c r="H148" s="78"/>
      <c r="I148" s="125">
        <f>IFERROR(VLOOKUP($A148,'Balancete 2016'!$A:$D,4,0),"0")</f>
        <v>374373.43</v>
      </c>
      <c r="J148" s="6"/>
      <c r="K148" s="57"/>
      <c r="M148" s="87"/>
      <c r="N148" s="88"/>
      <c r="O148" s="88"/>
      <c r="P148" s="7"/>
    </row>
    <row r="149" spans="1:16">
      <c r="A149" s="84">
        <v>7</v>
      </c>
      <c r="B149" s="78">
        <v>-5</v>
      </c>
      <c r="C149" s="78" t="s">
        <v>215</v>
      </c>
      <c r="D149" s="125">
        <f>IFERROR(VLOOKUP($A149,'Balancete 2015'!$A:$D,4,0),"0")+O149</f>
        <v>754284909.5</v>
      </c>
      <c r="E149" s="78"/>
      <c r="F149" s="78"/>
      <c r="G149" s="78"/>
      <c r="H149" s="78"/>
      <c r="I149" s="125">
        <f>IFERROR(VLOOKUP($A149,'Balancete 2016'!$A:$D,4,0),"0")</f>
        <v>231487327.16999999</v>
      </c>
      <c r="J149" s="6"/>
      <c r="K149" s="57"/>
      <c r="M149" s="87">
        <f>VLOOKUP(A149,'1 sem.15'!A:D,1,0)</f>
        <v>7</v>
      </c>
      <c r="N149" s="88" t="str">
        <f>VLOOKUP(A149,'1 sem.15'!A:D,3,0)</f>
        <v>CONTAS DE RESULTADO CREDORAS</v>
      </c>
      <c r="O149" s="88">
        <f>VLOOKUP(A149,'1 sem.15'!A:D,4,0)</f>
        <v>605440133.54999995</v>
      </c>
      <c r="P149" s="7"/>
    </row>
    <row r="150" spans="1:16">
      <c r="A150" s="84" t="s">
        <v>216</v>
      </c>
      <c r="B150" s="78">
        <v>-2</v>
      </c>
      <c r="C150" s="78" t="s">
        <v>217</v>
      </c>
      <c r="D150" s="125">
        <f>IFERROR(VLOOKUP($A150,'Balancete 2015'!$A:$D,4,0),"0")+O150</f>
        <v>754284909.5</v>
      </c>
      <c r="E150" s="78"/>
      <c r="F150" s="78"/>
      <c r="G150" s="78"/>
      <c r="H150" s="78"/>
      <c r="I150" s="125">
        <f>IFERROR(VLOOKUP($A150,'Balancete 2016'!$A:$D,4,0),"0")</f>
        <v>231487327.16999999</v>
      </c>
      <c r="J150" s="6"/>
      <c r="K150" s="57"/>
      <c r="M150" s="87" t="str">
        <f>VLOOKUP(A150,'1 sem.15'!A:D,1,0)</f>
        <v>7.1</v>
      </c>
      <c r="N150" s="88" t="str">
        <f>VLOOKUP(A150,'1 sem.15'!A:D,3,0)</f>
        <v>RECEITAS OPERACIONAIS</v>
      </c>
      <c r="O150" s="88">
        <f>VLOOKUP(A150,'1 sem.15'!A:D,4,0)</f>
        <v>605440133.54999995</v>
      </c>
      <c r="P150" s="7"/>
    </row>
    <row r="151" spans="1:16" s="93" customFormat="1">
      <c r="A151" s="84" t="s">
        <v>339</v>
      </c>
      <c r="B151" s="78">
        <v>-5</v>
      </c>
      <c r="C151" s="78" t="s">
        <v>218</v>
      </c>
      <c r="D151" s="125">
        <f>IFERROR(VLOOKUP($A151,'Balancete 2015'!$A:$D,4,0),"0")+O151</f>
        <v>12388856.99</v>
      </c>
      <c r="E151" s="78">
        <v>700</v>
      </c>
      <c r="F151" s="78">
        <v>200</v>
      </c>
      <c r="G151" s="78"/>
      <c r="H151" s="78"/>
      <c r="I151" s="125">
        <f>IFERROR(VLOOKUP($A151,'Balancete 2016'!$A:$D,4,0),"0")</f>
        <v>14465833.75</v>
      </c>
      <c r="J151" s="95"/>
      <c r="K151" s="57"/>
      <c r="M151" s="87" t="str">
        <f>VLOOKUP(A151,'1 sem.15'!A:D,1,0)</f>
        <v>7.1.4</v>
      </c>
      <c r="N151" s="161" t="str">
        <f>VLOOKUP(A151,'1 sem.15'!A:D,3,0)</f>
        <v>RENDAS APLIC INTERFINANCEIRAS LIQUIDEZ</v>
      </c>
      <c r="O151" s="161">
        <f>VLOOKUP(A151,'1 sem.15'!A:D,4,0)</f>
        <v>5572985.2599999998</v>
      </c>
      <c r="P151" s="100"/>
    </row>
    <row r="152" spans="1:16">
      <c r="A152" s="84" t="s">
        <v>219</v>
      </c>
      <c r="B152" s="78">
        <v>-9</v>
      </c>
      <c r="C152" s="78" t="s">
        <v>220</v>
      </c>
      <c r="D152" s="125">
        <f>IFERROR(VLOOKUP($A152,'Balancete 2015'!$A:$D,4,0),"0")+O152</f>
        <v>12388856.99</v>
      </c>
      <c r="E152" s="78"/>
      <c r="F152" s="78"/>
      <c r="G152" s="78"/>
      <c r="H152" s="78"/>
      <c r="I152" s="125">
        <f>IFERROR(VLOOKUP($A152,'Balancete 2016'!$A:$D,4,0),"0")</f>
        <v>14465833.75</v>
      </c>
      <c r="J152" s="6"/>
      <c r="M152" s="87" t="str">
        <f>VLOOKUP(A152,'1 sem.15'!A:D,1,0)</f>
        <v>7.1.4.10</v>
      </c>
      <c r="N152" s="88" t="str">
        <f>VLOOKUP(A152,'1 sem.15'!A:D,3,0)</f>
        <v>RENDAS DE APLIC EM OPER COMPROMISSADAS</v>
      </c>
      <c r="O152" s="88">
        <f>VLOOKUP(A152,'1 sem.15'!A:D,4,0)</f>
        <v>5572985.2599999998</v>
      </c>
      <c r="P152" s="7"/>
    </row>
    <row r="153" spans="1:16">
      <c r="A153" s="84" t="s">
        <v>221</v>
      </c>
      <c r="B153" s="78">
        <v>0</v>
      </c>
      <c r="C153" s="78" t="s">
        <v>222</v>
      </c>
      <c r="D153" s="125">
        <f>IFERROR(VLOOKUP($A153,'Balancete 2015'!$A:$D,4,0),"0")+O153</f>
        <v>12388856.99</v>
      </c>
      <c r="E153" s="78"/>
      <c r="F153" s="78"/>
      <c r="G153" s="78"/>
      <c r="H153" s="78"/>
      <c r="I153" s="125">
        <f>IFERROR(VLOOKUP($A153,'Balancete 2016'!$A:$D,4,0),"0")</f>
        <v>14465833.75</v>
      </c>
      <c r="J153" s="6"/>
      <c r="M153" s="87" t="str">
        <f>VLOOKUP(A153,'1 sem.15'!A:D,1,0)</f>
        <v>7.1.4.10.11</v>
      </c>
      <c r="N153" s="88" t="str">
        <f>VLOOKUP(A153,'1 sem.15'!A:D,3,0)</f>
        <v>POSICAO BANCADA</v>
      </c>
      <c r="O153" s="88">
        <f>VLOOKUP(A153,'1 sem.15'!A:D,4,0)</f>
        <v>5572985.2599999998</v>
      </c>
      <c r="P153" s="7"/>
    </row>
    <row r="154" spans="1:16">
      <c r="A154" s="84" t="s">
        <v>223</v>
      </c>
      <c r="B154" s="78">
        <v>-9</v>
      </c>
      <c r="C154" s="78" t="s">
        <v>564</v>
      </c>
      <c r="D154" s="125">
        <f>IFERROR(VLOOKUP($A154,'Balancete 2015'!$A:$D,4,0),"0")+O154</f>
        <v>12388856.99</v>
      </c>
      <c r="E154" s="78"/>
      <c r="F154" s="78"/>
      <c r="G154" s="78"/>
      <c r="H154" s="78"/>
      <c r="I154" s="125">
        <f>IFERROR(VLOOKUP($A154,'Balancete 2016'!$A:$D,4,0),"0")</f>
        <v>14465833.75</v>
      </c>
      <c r="J154" s="6"/>
      <c r="M154" s="87" t="str">
        <f>VLOOKUP(A154,'1 sem.15'!A:D,1,0)</f>
        <v>7.1.4.10.11.01</v>
      </c>
      <c r="N154" s="88" t="str">
        <f>VLOOKUP(A154,'1 sem.15'!A:D,3,0)</f>
        <v>RDAS DE APLIC EM OPS COMPROMISSADAS/PB</v>
      </c>
      <c r="O154" s="88">
        <f>VLOOKUP(A154,'1 sem.15'!A:D,4,0)</f>
        <v>5572985.2599999998</v>
      </c>
    </row>
    <row r="155" spans="1:16">
      <c r="A155" s="84" t="s">
        <v>340</v>
      </c>
      <c r="B155" s="78">
        <v>-3</v>
      </c>
      <c r="C155" s="78" t="s">
        <v>224</v>
      </c>
      <c r="D155" s="125">
        <f>IFERROR(VLOOKUP($A155,'Balancete 2015'!$A:$D,4,0),"0")+O155</f>
        <v>101846605.61</v>
      </c>
      <c r="E155" s="78"/>
      <c r="F155" s="78">
        <v>200</v>
      </c>
      <c r="G155" s="78"/>
      <c r="H155" s="78"/>
      <c r="I155" s="125">
        <f>IFERROR(VLOOKUP($A155,'Balancete 2016'!$A:$D,4,0),"0")</f>
        <v>110249938.95999999</v>
      </c>
      <c r="J155" s="6"/>
      <c r="M155" s="87" t="str">
        <f>VLOOKUP(A155,'1 sem.15'!A:D,1,0)</f>
        <v>7.1.5</v>
      </c>
      <c r="N155" s="88" t="str">
        <f>VLOOKUP(A155,'1 sem.15'!A:D,3,0)</f>
        <v>RDAS C/TIT VAL MOBIL E INSTRUM DERIVAT</v>
      </c>
      <c r="O155" s="88">
        <f>VLOOKUP(A155,'1 sem.15'!A:D,4,0)</f>
        <v>53338295.229999997</v>
      </c>
    </row>
    <row r="156" spans="1:16" s="93" customFormat="1">
      <c r="A156" s="84" t="s">
        <v>225</v>
      </c>
      <c r="B156" s="78">
        <v>-7</v>
      </c>
      <c r="C156" s="78" t="s">
        <v>226</v>
      </c>
      <c r="D156" s="125">
        <f>IFERROR(VLOOKUP($A156,'Balancete 2015'!$A:$D,4,0),"0")+O156</f>
        <v>64054899.799999997</v>
      </c>
      <c r="E156" s="78">
        <v>700</v>
      </c>
      <c r="F156" s="78"/>
      <c r="G156" s="78"/>
      <c r="H156" s="78"/>
      <c r="I156" s="125">
        <f>IFERROR(VLOOKUP($A156,'Balancete 2016'!$A:$D,4,0),"0")</f>
        <v>88211185.159999996</v>
      </c>
      <c r="J156" s="95"/>
      <c r="M156" s="87" t="str">
        <f>VLOOKUP(A156,'1 sem.15'!A:D,1,0)</f>
        <v>7.1.5.10</v>
      </c>
      <c r="N156" s="161" t="str">
        <f>VLOOKUP(A156,'1 sem.15'!A:D,3,0)</f>
        <v>RENDAS DE TITULOS DE RENDA FIXA</v>
      </c>
      <c r="O156" s="161">
        <f>VLOOKUP(A156,'1 sem.15'!A:D,4,0)</f>
        <v>22893814.34</v>
      </c>
    </row>
    <row r="157" spans="1:16">
      <c r="A157" s="84" t="s">
        <v>227</v>
      </c>
      <c r="B157" s="78">
        <v>-5</v>
      </c>
      <c r="C157" s="78" t="s">
        <v>565</v>
      </c>
      <c r="D157" s="125">
        <f>IFERROR(VLOOKUP($A157,'Balancete 2015'!$A:$D,4,0),"0")+O157</f>
        <v>64054899.799999997</v>
      </c>
      <c r="E157" s="78"/>
      <c r="F157" s="78"/>
      <c r="G157" s="78"/>
      <c r="H157" s="78"/>
      <c r="I157" s="125">
        <f>IFERROR(VLOOKUP($A157,'Balancete 2016'!$A:$D,4,0),"0")</f>
        <v>88211185.159999996</v>
      </c>
      <c r="J157" s="6"/>
      <c r="M157" s="87" t="str">
        <f>VLOOKUP(A157,'1 sem.15'!A:D,1,0)</f>
        <v>7.1.5.10.12</v>
      </c>
      <c r="N157" s="88" t="str">
        <f>VLOOKUP(A157,'1 sem.15'!A:D,3,0)</f>
        <v>RENDAS DE TITULOS DE RENDA FIXA/SUBS</v>
      </c>
      <c r="O157" s="88">
        <f>VLOOKUP(A157,'1 sem.15'!A:D,4,0)</f>
        <v>22893814.34</v>
      </c>
    </row>
    <row r="158" spans="1:16">
      <c r="A158" s="84" t="s">
        <v>228</v>
      </c>
      <c r="B158" s="78">
        <v>-3</v>
      </c>
      <c r="C158" s="78" t="s">
        <v>566</v>
      </c>
      <c r="D158" s="125">
        <f>IFERROR(VLOOKUP($A158,'Balancete 2015'!$A:$D,4,0),"0")+O158</f>
        <v>64054899.799999997</v>
      </c>
      <c r="E158" s="78"/>
      <c r="F158" s="78"/>
      <c r="G158" s="78"/>
      <c r="H158" s="78"/>
      <c r="I158" s="125">
        <f>IFERROR(VLOOKUP($A158,'Balancete 2016'!$A:$D,4,0),"0")</f>
        <v>88211185.159999996</v>
      </c>
      <c r="J158" s="6"/>
      <c r="M158" s="87" t="str">
        <f>VLOOKUP(A158,'1 sem.15'!A:D,1,0)</f>
        <v>7.1.5.10.12.01</v>
      </c>
      <c r="N158" s="88" t="str">
        <f>VLOOKUP(A158,'1 sem.15'!A:D,3,0)</f>
        <v>RDAS DE TITULOS DE RENDA FIXA</v>
      </c>
      <c r="O158" s="88">
        <f>VLOOKUP(A158,'1 sem.15'!A:D,4,0)</f>
        <v>22893814.34</v>
      </c>
    </row>
    <row r="159" spans="1:16">
      <c r="A159" s="84" t="s">
        <v>567</v>
      </c>
      <c r="B159" s="78">
        <v>0</v>
      </c>
      <c r="C159" s="78" t="s">
        <v>568</v>
      </c>
      <c r="D159" s="125">
        <f>IFERROR(VLOOKUP($A159,'Balancete 2015'!$A:$D,4,0),"0")+O159</f>
        <v>14872329.760000002</v>
      </c>
      <c r="E159" s="78"/>
      <c r="F159" s="78"/>
      <c r="G159" s="78"/>
      <c r="H159" s="78"/>
      <c r="I159" s="125">
        <f>IFERROR(VLOOKUP($A159,'Balancete 2016'!$A:$D,4,0),"0")</f>
        <v>13192437.710000001</v>
      </c>
      <c r="J159" s="6"/>
      <c r="M159" s="87" t="str">
        <f>VLOOKUP(A159,'1 sem.15'!A:D,1,0)</f>
        <v>7.1.5.20</v>
      </c>
      <c r="N159" s="88" t="str">
        <f>VLOOKUP(A159,'1 sem.15'!A:D,3,0)</f>
        <v>RENDAS DE TITULOS DE RENDA VARIAVEL</v>
      </c>
      <c r="O159" s="88">
        <f>VLOOKUP(A159,'1 sem.15'!A:D,4,0)</f>
        <v>8867771.9600000009</v>
      </c>
    </row>
    <row r="160" spans="1:16">
      <c r="A160" s="84" t="s">
        <v>569</v>
      </c>
      <c r="B160" s="78">
        <v>-9</v>
      </c>
      <c r="C160" s="78" t="s">
        <v>570</v>
      </c>
      <c r="D160" s="125">
        <f>IFERROR(VLOOKUP($A160,'Balancete 2015'!$A:$D,4,0),"0")+O160</f>
        <v>14872329.760000002</v>
      </c>
      <c r="E160" s="78"/>
      <c r="F160" s="78"/>
      <c r="G160" s="78"/>
      <c r="H160" s="78"/>
      <c r="I160" s="125">
        <f>IFERROR(VLOOKUP($A160,'Balancete 2016'!$A:$D,4,0),"0")</f>
        <v>13192437.710000001</v>
      </c>
      <c r="J160" s="6"/>
      <c r="M160" s="87" t="str">
        <f>VLOOKUP(A160,'1 sem.15'!A:D,1,0)</f>
        <v>7.1.5.20.12</v>
      </c>
      <c r="N160" s="88" t="str">
        <f>VLOOKUP(A160,'1 sem.15'!A:D,3,0)</f>
        <v>REC DE APLIC EM RENDA VARIAVEL</v>
      </c>
      <c r="O160" s="88">
        <f>VLOOKUP(A160,'1 sem.15'!A:D,4,0)</f>
        <v>8867771.9600000009</v>
      </c>
    </row>
    <row r="161" spans="1:15" s="93" customFormat="1">
      <c r="A161" s="84" t="s">
        <v>571</v>
      </c>
      <c r="B161" s="78">
        <v>-7</v>
      </c>
      <c r="C161" s="78" t="s">
        <v>572</v>
      </c>
      <c r="D161" s="125">
        <f>IFERROR(VLOOKUP($A161,'Balancete 2015'!$A:$D,4,0),"0")+O161</f>
        <v>12748281.149999999</v>
      </c>
      <c r="E161" s="78">
        <v>500</v>
      </c>
      <c r="F161" s="162"/>
      <c r="G161" s="78"/>
      <c r="H161" s="78"/>
      <c r="I161" s="125">
        <f>IFERROR(VLOOKUP($A161,'Balancete 2016'!$A:$D,4,0),"0")</f>
        <v>8875802.7699999996</v>
      </c>
      <c r="J161" s="95"/>
      <c r="M161" s="87" t="str">
        <f>VLOOKUP(A161,'1 sem.15'!A:D,1,0)</f>
        <v>7.1.5.20.12.01</v>
      </c>
      <c r="N161" s="161" t="str">
        <f>VLOOKUP(A161,'1 sem.15'!A:D,3,0)</f>
        <v>RDAS ACOES CIAS ABERTAS - DIVID CIELO/CAIXAPAR</v>
      </c>
      <c r="O161" s="161">
        <f>VLOOKUP(A161,'1 sem.15'!A:D,4,0)</f>
        <v>8049249.6299999999</v>
      </c>
    </row>
    <row r="162" spans="1:15" s="93" customFormat="1">
      <c r="A162" s="84" t="s">
        <v>573</v>
      </c>
      <c r="B162" s="78">
        <v>-5</v>
      </c>
      <c r="C162" s="78" t="s">
        <v>574</v>
      </c>
      <c r="D162" s="125">
        <f>IFERROR(VLOOKUP($A162,'Balancete 2015'!$A:$D,4,0),"0")+O162</f>
        <v>2070504.13</v>
      </c>
      <c r="E162" s="78">
        <v>500</v>
      </c>
      <c r="F162" s="78"/>
      <c r="G162" s="78"/>
      <c r="H162" s="78"/>
      <c r="I162" s="125">
        <f>IFERROR(VLOOKUP($A162,'Balancete 2016'!$A:$D,4,0),"0")</f>
        <v>4316634.9400000004</v>
      </c>
      <c r="J162" s="95"/>
      <c r="M162" s="87" t="str">
        <f>VLOOKUP(A162,'1 sem.15'!A:D,1,0)</f>
        <v>7.1.5.20.12.02</v>
      </c>
      <c r="N162" s="161" t="str">
        <f>VLOOKUP(A162,'1 sem.15'!A:D,3,0)</f>
        <v>RDAS ACOES CIAS ABERTAS - JCP CIELO/CAIXAPAR</v>
      </c>
      <c r="O162" s="161">
        <f>VLOOKUP(A162,'1 sem.15'!A:D,4,0)</f>
        <v>764977.85</v>
      </c>
    </row>
    <row r="163" spans="1:15" s="93" customFormat="1">
      <c r="A163" s="84" t="s">
        <v>575</v>
      </c>
      <c r="B163" s="78">
        <v>-3</v>
      </c>
      <c r="C163" s="78" t="s">
        <v>576</v>
      </c>
      <c r="D163" s="125">
        <f>IFERROR(VLOOKUP($A163,'Balancete 2015'!$A:$D,4,0),"0")+O163</f>
        <v>0</v>
      </c>
      <c r="E163" s="78">
        <v>500</v>
      </c>
      <c r="F163" s="78"/>
      <c r="G163" s="78"/>
      <c r="H163" s="78"/>
      <c r="I163" s="125" t="str">
        <f>IFERROR(VLOOKUP($A163,'Balancete 2016'!$A:$D,4,0),"0")</f>
        <v>0</v>
      </c>
      <c r="J163" s="95"/>
      <c r="M163" s="87" t="str">
        <f>+A163</f>
        <v>7.1.5.20.12.03</v>
      </c>
      <c r="N163" s="161" t="str">
        <f>+C163</f>
        <v>RDAS ACOES CIAS FECHADAS/CAIXAPAR</v>
      </c>
      <c r="O163" s="161">
        <v>0</v>
      </c>
    </row>
    <row r="164" spans="1:15" s="93" customFormat="1">
      <c r="A164" s="77" t="s">
        <v>958</v>
      </c>
      <c r="B164" s="78"/>
      <c r="C164" s="78" t="s">
        <v>959</v>
      </c>
      <c r="D164" s="125">
        <f>IFERROR(VLOOKUP($A164,'Balancete 2015'!$A:$D,4,0),"0")+O164</f>
        <v>53544.480000000003</v>
      </c>
      <c r="E164" s="78">
        <v>500</v>
      </c>
      <c r="F164" s="78"/>
      <c r="G164" s="78"/>
      <c r="H164" s="78"/>
      <c r="I164" s="125" t="str">
        <f>IFERROR(VLOOKUP($A164,'Balancete 2016'!$A:$D,4,0),"0")</f>
        <v>0</v>
      </c>
      <c r="J164" s="95"/>
      <c r="M164" s="87" t="s">
        <v>958</v>
      </c>
      <c r="N164" s="161" t="str">
        <f>+C164</f>
        <v>RDAS ACOES CIAS ABERT EXERC ANTER- JCP CIELO/CXP</v>
      </c>
      <c r="O164" s="161">
        <f>VLOOKUP(A164,'1 sem.15'!A:D,4,0)</f>
        <v>53544.480000000003</v>
      </c>
    </row>
    <row r="165" spans="1:15" s="93" customFormat="1">
      <c r="A165" s="84" t="s">
        <v>577</v>
      </c>
      <c r="B165" s="78">
        <v>-8</v>
      </c>
      <c r="C165" s="78" t="s">
        <v>578</v>
      </c>
      <c r="D165" s="125">
        <f>IFERROR(VLOOKUP($A165,'Balancete 2015'!$A:$D,4,0),"0")+O165</f>
        <v>22919376.050000001</v>
      </c>
      <c r="E165" s="78">
        <v>700</v>
      </c>
      <c r="F165" s="78"/>
      <c r="G165" s="78"/>
      <c r="H165" s="78"/>
      <c r="I165" s="125">
        <f>IFERROR(VLOOKUP($A165,'Balancete 2016'!$A:$D,4,0),"0")</f>
        <v>8846316.0899999999</v>
      </c>
      <c r="J165" s="95"/>
      <c r="M165" s="87" t="str">
        <f>VLOOKUP(A165,'1 sem.15'!A:D,1,0)</f>
        <v>7.1.5.40</v>
      </c>
      <c r="N165" s="161" t="str">
        <f>VLOOKUP(A165,'1 sem.15'!A:D,3,0)</f>
        <v>RENDAS DE APLICACOES EM FUNDOS DE INVESTIMENTO</v>
      </c>
      <c r="O165" s="161">
        <f>VLOOKUP(A165,'1 sem.15'!A:D,4,0)</f>
        <v>21576708.93</v>
      </c>
    </row>
    <row r="166" spans="1:15">
      <c r="A166" s="84" t="s">
        <v>579</v>
      </c>
      <c r="B166" s="78">
        <v>-3</v>
      </c>
      <c r="C166" s="78" t="s">
        <v>580</v>
      </c>
      <c r="D166" s="125">
        <f>IFERROR(VLOOKUP($A166,'Balancete 2015'!$A:$D,4,0),"0")+O166</f>
        <v>22919376.050000001</v>
      </c>
      <c r="E166" s="78"/>
      <c r="F166" s="78"/>
      <c r="G166" s="78"/>
      <c r="H166" s="78"/>
      <c r="I166" s="125">
        <f>IFERROR(VLOOKUP($A166,'Balancete 2016'!$A:$D,4,0),"0")</f>
        <v>8846316.0899999999</v>
      </c>
      <c r="J166" s="6"/>
      <c r="M166" s="87" t="str">
        <f>VLOOKUP(A166,'1 sem.15'!A:D,1,0)</f>
        <v>7.1.5.40.10</v>
      </c>
      <c r="N166" s="88" t="str">
        <f>VLOOKUP(A166,'1 sem.15'!A:D,3,0)</f>
        <v>RENDAS DE APLICACOES EM FUNDOS DE INVEST</v>
      </c>
      <c r="O166" s="88">
        <f>VLOOKUP(A166,'1 sem.15'!A:D,4,0)</f>
        <v>21576708.93</v>
      </c>
    </row>
    <row r="167" spans="1:15">
      <c r="A167" s="84" t="s">
        <v>581</v>
      </c>
      <c r="B167" s="78">
        <v>-8</v>
      </c>
      <c r="C167" s="78" t="s">
        <v>582</v>
      </c>
      <c r="D167" s="125">
        <f>IFERROR(VLOOKUP($A167,'Balancete 2015'!$A:$D,4,0),"0")+O167</f>
        <v>22919376.050000001</v>
      </c>
      <c r="E167" s="78"/>
      <c r="F167" s="78"/>
      <c r="G167" s="78"/>
      <c r="H167" s="78"/>
      <c r="I167" s="125">
        <f>IFERROR(VLOOKUP($A167,'Balancete 2016'!$A:$D,4,0),"0")</f>
        <v>8846316.0899999999</v>
      </c>
      <c r="J167" s="6"/>
      <c r="M167" s="87" t="str">
        <f>VLOOKUP(A167,'1 sem.15'!A:D,1,0)</f>
        <v>7.1.5.40.10.17</v>
      </c>
      <c r="N167" s="88" t="str">
        <f>VLOOKUP(A167,'1 sem.15'!A:D,3,0)</f>
        <v>RDAS APLIC FDO INVEST REF/CAIXAPAR</v>
      </c>
      <c r="O167" s="88">
        <f>VLOOKUP(A167,'1 sem.15'!A:D,4,0)</f>
        <v>21576708.93</v>
      </c>
    </row>
    <row r="168" spans="1:15">
      <c r="A168" s="84" t="s">
        <v>332</v>
      </c>
      <c r="B168" s="78">
        <v>-8</v>
      </c>
      <c r="C168" s="78" t="s">
        <v>229</v>
      </c>
      <c r="D168" s="125">
        <f>IFERROR(VLOOKUP($A168,'Balancete 2015'!$A:$D,4,0),"0")+O168</f>
        <v>602837877.54999995</v>
      </c>
      <c r="E168" s="78"/>
      <c r="F168" s="78"/>
      <c r="G168" s="78"/>
      <c r="H168" s="78"/>
      <c r="I168" s="125">
        <f>IFERROR(VLOOKUP($A168,'Balancete 2016'!$A:$D,4,0),"0")</f>
        <v>105899634</v>
      </c>
      <c r="J168" s="6"/>
      <c r="M168" s="87" t="str">
        <f>VLOOKUP(A168,'1 sem.15'!A:D,1,0)</f>
        <v>7.1.8</v>
      </c>
      <c r="N168" s="88" t="str">
        <f>VLOOKUP(A168,'1 sem.15'!A:D,3,0)</f>
        <v>RENDAS DE PARTICIPACOES</v>
      </c>
      <c r="O168" s="88">
        <f>VLOOKUP(A168,'1 sem.15'!A:D,4,0)</f>
        <v>510836389.07999998</v>
      </c>
    </row>
    <row r="169" spans="1:15">
      <c r="A169" s="84" t="s">
        <v>230</v>
      </c>
      <c r="B169" s="78">
        <v>-5</v>
      </c>
      <c r="C169" s="78" t="s">
        <v>231</v>
      </c>
      <c r="D169" s="125">
        <f>IFERROR(VLOOKUP($A169,'Balancete 2015'!$A:$D,4,0),"0")+O169</f>
        <v>602837877.54999995</v>
      </c>
      <c r="E169" s="78"/>
      <c r="F169" s="78"/>
      <c r="G169" s="78"/>
      <c r="H169" s="78"/>
      <c r="I169" s="125">
        <f>IFERROR(VLOOKUP($A169,'Balancete 2016'!$A:$D,4,0),"0")</f>
        <v>105899634</v>
      </c>
      <c r="J169" s="6"/>
      <c r="M169" s="87" t="str">
        <f>VLOOKUP(A169,'1 sem.15'!A:D,1,0)</f>
        <v>7.1.8.20</v>
      </c>
      <c r="N169" s="88" t="str">
        <f>VLOOKUP(A169,'1 sem.15'!A:D,3,0)</f>
        <v>RENDAS DE AJUSTES EM INVEST EM COLIG E CONTROL</v>
      </c>
      <c r="O169" s="88">
        <f>VLOOKUP(A169,'1 sem.15'!A:D,4,0)</f>
        <v>510836389.07999998</v>
      </c>
    </row>
    <row r="170" spans="1:15">
      <c r="A170" s="84" t="s">
        <v>232</v>
      </c>
      <c r="B170" s="78">
        <v>0</v>
      </c>
      <c r="C170" s="78" t="s">
        <v>231</v>
      </c>
      <c r="D170" s="125">
        <f>IFERROR(VLOOKUP($A170,'Balancete 2015'!$A:$D,4,0),"0")+O170</f>
        <v>602837877.54999995</v>
      </c>
      <c r="E170" s="78"/>
      <c r="F170" s="78"/>
      <c r="G170" s="78"/>
      <c r="H170" s="78"/>
      <c r="I170" s="125">
        <f>IFERROR(VLOOKUP($A170,'Balancete 2016'!$A:$D,4,0),"0")</f>
        <v>105899634</v>
      </c>
      <c r="J170" s="6"/>
      <c r="M170" s="87" t="str">
        <f>VLOOKUP(A170,'1 sem.15'!A:D,1,0)</f>
        <v>7.1.8.20.10</v>
      </c>
      <c r="N170" s="88" t="str">
        <f>VLOOKUP(A170,'1 sem.15'!A:D,3,0)</f>
        <v>RENDAS DE AJUSTES EM INVEST EM COLIG E CONTROL</v>
      </c>
      <c r="O170" s="88">
        <f>VLOOKUP(A170,'1 sem.15'!A:D,4,0)</f>
        <v>510836389.07999998</v>
      </c>
    </row>
    <row r="171" spans="1:15" s="93" customFormat="1">
      <c r="A171" s="84" t="s">
        <v>233</v>
      </c>
      <c r="B171" s="78">
        <v>-5</v>
      </c>
      <c r="C171" s="78" t="s">
        <v>314</v>
      </c>
      <c r="D171" s="125">
        <f>IFERROR(VLOOKUP($A171,'Balancete 2015'!$A:$D,4,0),"0")+O171</f>
        <v>489025313.69000006</v>
      </c>
      <c r="E171" s="78">
        <v>100</v>
      </c>
      <c r="F171" s="78"/>
      <c r="G171" s="78"/>
      <c r="H171" s="78"/>
      <c r="I171" s="125" t="str">
        <f>IFERROR(VLOOKUP($A171,'Balancete 2016'!$A:$D,4,0),"0")</f>
        <v>0</v>
      </c>
      <c r="J171" s="95"/>
      <c r="M171" s="87" t="str">
        <f>VLOOKUP(A171,'1 sem.15'!A:D,1,0)</f>
        <v>7.1.8.20.10.20</v>
      </c>
      <c r="N171" s="161" t="str">
        <f>VLOOKUP(A171,'1 sem.15'!A:D,3,0)</f>
        <v>RENDAS DE AJUSTES INVEST CONTROL COLIGADAS</v>
      </c>
      <c r="O171" s="161">
        <f>VLOOKUP(A171,'1 sem.15'!A:D,4,0)</f>
        <v>455154052.72000003</v>
      </c>
    </row>
    <row r="172" spans="1:15" s="93" customFormat="1">
      <c r="A172" s="84" t="s">
        <v>695</v>
      </c>
      <c r="B172" s="78">
        <v>-1</v>
      </c>
      <c r="C172" s="78" t="s">
        <v>696</v>
      </c>
      <c r="D172" s="125">
        <f>IFERROR(VLOOKUP($A172,'Balancete 2015'!$A:$D,4,0),"0")+O172</f>
        <v>48898694.359999999</v>
      </c>
      <c r="E172" s="78">
        <v>100</v>
      </c>
      <c r="F172" s="78"/>
      <c r="G172" s="78"/>
      <c r="H172" s="78"/>
      <c r="I172" s="125" t="str">
        <f>IFERROR(VLOOKUP($A172,'Balancete 2016'!$A:$D,4,0),"0")</f>
        <v>0</v>
      </c>
      <c r="J172" s="95"/>
      <c r="M172" s="87" t="str">
        <f>VLOOKUP(A172,'1 sem.15'!A:D,1,0)</f>
        <v>7.1.8.20.10.22</v>
      </c>
      <c r="N172" s="161" t="str">
        <f>VLOOKUP(A172,'1 sem.15'!A:D,3,0)</f>
        <v>RDAS DE AJ INVEST GANHO COMPRA VANTAJOSA</v>
      </c>
      <c r="O172" s="161">
        <f>VLOOKUP(A172,'1 sem.15'!A:D,4,0)</f>
        <v>48898694.359999999</v>
      </c>
    </row>
    <row r="173" spans="1:15" s="93" customFormat="1">
      <c r="A173" s="84" t="s">
        <v>234</v>
      </c>
      <c r="B173" s="78">
        <v>-2</v>
      </c>
      <c r="C173" s="78" t="s">
        <v>235</v>
      </c>
      <c r="D173" s="125">
        <f>IFERROR(VLOOKUP($A173,'Balancete 2015'!$A:$D,4,0),"0")+O173</f>
        <v>64913869.5</v>
      </c>
      <c r="E173" s="78">
        <v>100</v>
      </c>
      <c r="F173" s="78"/>
      <c r="G173" s="78"/>
      <c r="H173" s="78"/>
      <c r="I173" s="125">
        <f>IFERROR(VLOOKUP($A173,'Balancete 2016'!$A:$D,4,0),"0")</f>
        <v>50520217.5</v>
      </c>
      <c r="J173" s="95"/>
      <c r="M173" s="87" t="str">
        <f>VLOOKUP(A173,'1 sem.15'!A:D,1,0)</f>
        <v>7.1.8.20.10.30</v>
      </c>
      <c r="N173" s="161" t="str">
        <f>VLOOKUP(A173,'1 sem.15'!A:D,3,0)</f>
        <v>RENDAS PART AJUSTE IFRS POSITIVO CAIXAPAR</v>
      </c>
      <c r="O173" s="161">
        <f>VLOOKUP(A173,'1 sem.15'!A:D,4,0)</f>
        <v>6783642</v>
      </c>
    </row>
    <row r="174" spans="1:15" s="93" customFormat="1">
      <c r="A174" s="89" t="s">
        <v>1095</v>
      </c>
      <c r="B174" s="89">
        <v>0</v>
      </c>
      <c r="C174" s="89" t="s">
        <v>1096</v>
      </c>
      <c r="D174" s="125"/>
      <c r="E174" s="78">
        <v>100</v>
      </c>
      <c r="F174" s="78"/>
      <c r="G174" s="78"/>
      <c r="H174" s="78"/>
      <c r="I174" s="125">
        <f>IFERROR(VLOOKUP($A174,'Balancete 2016'!$A:$D,4,0),"0")</f>
        <v>41516633.289999999</v>
      </c>
      <c r="J174" s="95"/>
      <c r="M174" s="87"/>
      <c r="N174" s="161"/>
      <c r="O174" s="161"/>
    </row>
    <row r="175" spans="1:15" s="93" customFormat="1">
      <c r="A175" s="89" t="s">
        <v>1097</v>
      </c>
      <c r="B175" s="89">
        <v>-9</v>
      </c>
      <c r="C175" s="89" t="s">
        <v>1098</v>
      </c>
      <c r="D175" s="125"/>
      <c r="E175" s="78">
        <v>100</v>
      </c>
      <c r="F175" s="78"/>
      <c r="G175" s="78"/>
      <c r="H175" s="78"/>
      <c r="I175" s="125">
        <f>IFERROR(VLOOKUP($A175,'Balancete 2016'!$A:$D,4,0),"0")</f>
        <v>787538.25</v>
      </c>
      <c r="J175" s="95"/>
      <c r="M175" s="87"/>
      <c r="N175" s="161"/>
      <c r="O175" s="161"/>
    </row>
    <row r="176" spans="1:15" s="93" customFormat="1">
      <c r="A176" s="89" t="s">
        <v>1099</v>
      </c>
      <c r="B176" s="89">
        <v>-7</v>
      </c>
      <c r="C176" s="89" t="s">
        <v>1100</v>
      </c>
      <c r="D176" s="125"/>
      <c r="E176" s="78">
        <v>100</v>
      </c>
      <c r="F176" s="78"/>
      <c r="G176" s="78"/>
      <c r="H176" s="78"/>
      <c r="I176" s="125">
        <f>IFERROR(VLOOKUP($A176,'Balancete 2016'!$A:$D,4,0),"0")</f>
        <v>293198.38</v>
      </c>
      <c r="J176" s="95"/>
      <c r="M176" s="87"/>
      <c r="N176" s="161"/>
      <c r="O176" s="161"/>
    </row>
    <row r="177" spans="1:15" s="93" customFormat="1">
      <c r="A177" s="89" t="s">
        <v>1101</v>
      </c>
      <c r="B177" s="89">
        <v>-5</v>
      </c>
      <c r="C177" s="89" t="s">
        <v>1102</v>
      </c>
      <c r="D177" s="125"/>
      <c r="E177" s="78">
        <v>100</v>
      </c>
      <c r="F177" s="78"/>
      <c r="G177" s="78"/>
      <c r="H177" s="78"/>
      <c r="I177" s="125">
        <f>IFERROR(VLOOKUP($A177,'Balancete 2016'!$A:$D,4,0),"0")</f>
        <v>7306543.3300000001</v>
      </c>
      <c r="J177" s="95"/>
      <c r="M177" s="87"/>
      <c r="N177" s="161"/>
      <c r="O177" s="161"/>
    </row>
    <row r="178" spans="1:15" s="93" customFormat="1">
      <c r="A178" s="89" t="s">
        <v>1103</v>
      </c>
      <c r="B178" s="89">
        <v>-3</v>
      </c>
      <c r="C178" s="89" t="s">
        <v>1104</v>
      </c>
      <c r="D178" s="125"/>
      <c r="E178" s="78">
        <v>100</v>
      </c>
      <c r="F178" s="78"/>
      <c r="G178" s="78"/>
      <c r="H178" s="78"/>
      <c r="I178" s="125">
        <f>IFERROR(VLOOKUP($A178,'Balancete 2016'!$A:$D,4,0),"0")</f>
        <v>33561.39</v>
      </c>
      <c r="J178" s="95"/>
      <c r="M178" s="87"/>
      <c r="N178" s="161"/>
      <c r="O178" s="161"/>
    </row>
    <row r="179" spans="1:15" s="93" customFormat="1">
      <c r="A179" s="89" t="s">
        <v>1105</v>
      </c>
      <c r="B179" s="89">
        <v>-1</v>
      </c>
      <c r="C179" s="89" t="s">
        <v>1106</v>
      </c>
      <c r="D179" s="125"/>
      <c r="E179" s="78">
        <v>100</v>
      </c>
      <c r="F179" s="78"/>
      <c r="G179" s="78"/>
      <c r="H179" s="78"/>
      <c r="I179" s="125">
        <f>IFERROR(VLOOKUP($A179,'Balancete 2016'!$A:$D,4,0),"0")</f>
        <v>2250134.12</v>
      </c>
      <c r="J179" s="95"/>
      <c r="M179" s="87"/>
      <c r="N179" s="161"/>
      <c r="O179" s="161"/>
    </row>
    <row r="180" spans="1:15" s="93" customFormat="1">
      <c r="A180" s="89" t="s">
        <v>1107</v>
      </c>
      <c r="B180" s="89">
        <v>-6</v>
      </c>
      <c r="C180" s="89" t="s">
        <v>1108</v>
      </c>
      <c r="D180" s="125"/>
      <c r="E180" s="78">
        <v>100</v>
      </c>
      <c r="F180" s="78"/>
      <c r="G180" s="78"/>
      <c r="H180" s="78"/>
      <c r="I180" s="125">
        <f>IFERROR(VLOOKUP($A180,'Balancete 2016'!$A:$D,4,0),"0")</f>
        <v>3191807.74</v>
      </c>
      <c r="J180" s="95"/>
      <c r="M180" s="87"/>
      <c r="N180" s="161"/>
      <c r="O180" s="161"/>
    </row>
    <row r="181" spans="1:15">
      <c r="A181" s="84" t="s">
        <v>335</v>
      </c>
      <c r="B181" s="78">
        <v>-6</v>
      </c>
      <c r="C181" s="78" t="s">
        <v>236</v>
      </c>
      <c r="D181" s="125">
        <f>IFERROR(VLOOKUP($A181,'Balancete 2015'!$A:$D,4,0),"0")+O181</f>
        <v>37211569.349999994</v>
      </c>
      <c r="E181" s="78"/>
      <c r="F181" s="78"/>
      <c r="G181" s="78"/>
      <c r="H181" s="78"/>
      <c r="I181" s="125">
        <f>IFERROR(VLOOKUP($A181,'Balancete 2016'!$A:$D,4,0),"0")</f>
        <v>871920.46</v>
      </c>
      <c r="J181" s="6"/>
      <c r="M181" s="87" t="str">
        <f>VLOOKUP(A181,'1 sem.15'!A:D,1,0)</f>
        <v>7.1.9</v>
      </c>
      <c r="N181" s="88" t="str">
        <f>VLOOKUP(A181,'1 sem.15'!A:D,3,0)</f>
        <v>OUTRAS RECEITAS OPERACIONAIS</v>
      </c>
      <c r="O181" s="88">
        <f>VLOOKUP(A181,'1 sem.15'!A:D,4,0)</f>
        <v>35692463.979999997</v>
      </c>
    </row>
    <row r="182" spans="1:15">
      <c r="A182" s="84" t="s">
        <v>237</v>
      </c>
      <c r="B182" s="78">
        <v>0</v>
      </c>
      <c r="C182" s="78" t="s">
        <v>238</v>
      </c>
      <c r="D182" s="125">
        <f>IFERROR(VLOOKUP($A182,'Balancete 2015'!$A:$D,4,0),"0")+O182</f>
        <v>37211569.349999994</v>
      </c>
      <c r="E182" s="78"/>
      <c r="F182" s="78"/>
      <c r="G182" s="78"/>
      <c r="H182" s="78"/>
      <c r="I182" s="125">
        <f>IFERROR(VLOOKUP($A182,'Balancete 2016'!$A:$D,4,0),"0")</f>
        <v>871920.46</v>
      </c>
      <c r="J182" s="6"/>
      <c r="M182" s="87" t="str">
        <f>VLOOKUP(A182,'1 sem.15'!A:D,1,0)</f>
        <v>7.1.9.99</v>
      </c>
      <c r="N182" s="88" t="str">
        <f>VLOOKUP(A182,'1 sem.15'!A:D,3,0)</f>
        <v>OUTRAS RENDAS OPERACIONAIS</v>
      </c>
      <c r="O182" s="88">
        <f>VLOOKUP(A182,'1 sem.15'!A:D,4,0)</f>
        <v>35692463.979999997</v>
      </c>
    </row>
    <row r="183" spans="1:15" s="93" customFormat="1">
      <c r="A183" s="84" t="s">
        <v>239</v>
      </c>
      <c r="B183" s="78">
        <v>0</v>
      </c>
      <c r="C183" s="78" t="s">
        <v>583</v>
      </c>
      <c r="D183" s="125">
        <f>IFERROR(VLOOKUP($A183,'Balancete 2015'!$A:$D,4,0),"0")+O183</f>
        <v>0</v>
      </c>
      <c r="E183" s="78">
        <v>500</v>
      </c>
      <c r="F183" s="78">
        <v>110</v>
      </c>
      <c r="G183" s="78"/>
      <c r="H183" s="78"/>
      <c r="I183" s="125" t="str">
        <f>IFERROR(VLOOKUP($A183,'Balancete 2016'!$A:$D,4,0),"0")</f>
        <v>0</v>
      </c>
      <c r="J183" s="95"/>
      <c r="M183" s="87" t="str">
        <f>+A183</f>
        <v>7.1.9.99.14</v>
      </c>
      <c r="N183" s="161" t="str">
        <f>+C183</f>
        <v>OUTRAS RDAS OPS - S/CREDITOS TRIB/CAIXAPAR</v>
      </c>
      <c r="O183" s="161">
        <v>0</v>
      </c>
    </row>
    <row r="184" spans="1:15">
      <c r="A184" s="84" t="s">
        <v>240</v>
      </c>
      <c r="B184" s="78">
        <v>-5</v>
      </c>
      <c r="C184" s="78" t="s">
        <v>584</v>
      </c>
      <c r="D184" s="125">
        <f>IFERROR(VLOOKUP($A184,'Balancete 2015'!$A:$D,4,0),"0")+O184</f>
        <v>0</v>
      </c>
      <c r="E184" s="78"/>
      <c r="F184" s="78"/>
      <c r="G184" s="78"/>
      <c r="H184" s="78"/>
      <c r="I184" s="125" t="str">
        <f>IFERROR(VLOOKUP($A184,'Balancete 2016'!$A:$D,4,0),"0")</f>
        <v>0</v>
      </c>
      <c r="J184" s="6"/>
      <c r="M184" s="87" t="str">
        <f>+A184</f>
        <v>7.1.9.99.14.20</v>
      </c>
      <c r="N184" s="88" t="str">
        <f>+C184</f>
        <v>RECEITA ATUAL MONET S/ IRPJ COMPENSAR/CAIXAPAR</v>
      </c>
      <c r="O184" s="88">
        <v>0</v>
      </c>
    </row>
    <row r="185" spans="1:15" s="93" customFormat="1">
      <c r="A185" s="84" t="s">
        <v>336</v>
      </c>
      <c r="B185" s="78">
        <v>-9</v>
      </c>
      <c r="C185" s="78" t="s">
        <v>585</v>
      </c>
      <c r="D185" s="125">
        <f>IFERROR(VLOOKUP($A185,'Balancete 2015'!$A:$D,4,0),"0")+O185</f>
        <v>37160158.379999995</v>
      </c>
      <c r="E185" s="78">
        <v>100</v>
      </c>
      <c r="F185" s="78"/>
      <c r="G185" s="78"/>
      <c r="H185" s="78"/>
      <c r="I185" s="125">
        <f>IFERROR(VLOOKUP($A185,'Balancete 2016'!$A:$D,4,0),"0")</f>
        <v>394540.74</v>
      </c>
      <c r="J185" s="95"/>
      <c r="M185" s="87" t="str">
        <f>VLOOKUP(A185,'1 sem.15'!A:D,1,0)</f>
        <v>7.1.9.99.26</v>
      </c>
      <c r="N185" s="161" t="str">
        <f>VLOOKUP(A185,'1 sem.15'!A:D,3,0)</f>
        <v>REC DE JCP E DE DIVIDENDOS SUBS</v>
      </c>
      <c r="O185" s="161">
        <f>VLOOKUP(A185,'1 sem.15'!A:D,4,0)</f>
        <v>35692463.979999997</v>
      </c>
    </row>
    <row r="186" spans="1:15">
      <c r="A186" s="84" t="s">
        <v>333</v>
      </c>
      <c r="B186" s="78">
        <v>-1</v>
      </c>
      <c r="C186" s="78" t="s">
        <v>586</v>
      </c>
      <c r="D186" s="125">
        <f>IFERROR(VLOOKUP($A186,'Balancete 2015'!$A:$D,4,0),"0")+O186</f>
        <v>37160158.379999995</v>
      </c>
      <c r="E186" s="78"/>
      <c r="F186" s="78"/>
      <c r="G186" s="78"/>
      <c r="H186" s="78"/>
      <c r="I186" s="125">
        <f>IFERROR(VLOOKUP($A186,'Balancete 2016'!$A:$D,4,0),"0")</f>
        <v>394540.74</v>
      </c>
      <c r="J186" s="6"/>
      <c r="M186" s="87" t="str">
        <f>VLOOKUP(A186,'1 sem.15'!A:D,1,0)</f>
        <v>7.1.9.99.26.21</v>
      </c>
      <c r="N186" s="88" t="str">
        <f>VLOOKUP(A186,'1 sem.15'!A:D,3,0)</f>
        <v>RECEITA DE JCP PARTICIPACOES SUBS</v>
      </c>
      <c r="O186" s="88">
        <f>VLOOKUP(A186,'1 sem.15'!A:D,4,0)</f>
        <v>35692463.979999997</v>
      </c>
    </row>
    <row r="187" spans="1:15" s="93" customFormat="1">
      <c r="A187" s="84" t="s">
        <v>241</v>
      </c>
      <c r="B187" s="78">
        <v>-9</v>
      </c>
      <c r="C187" s="78" t="s">
        <v>587</v>
      </c>
      <c r="D187" s="125">
        <f>IFERROR(VLOOKUP($A187,'Balancete 2015'!$A:$D,4,0),"0")+O187</f>
        <v>51410.97</v>
      </c>
      <c r="E187" s="78">
        <v>500</v>
      </c>
      <c r="F187" s="78">
        <v>110</v>
      </c>
      <c r="G187" s="78"/>
      <c r="H187" s="78"/>
      <c r="I187" s="125">
        <f>IFERROR(VLOOKUP($A187,'Balancete 2016'!$A:$D,4,0),"0")</f>
        <v>477379.72</v>
      </c>
      <c r="J187" s="95"/>
      <c r="M187" s="87" t="str">
        <f>+A187</f>
        <v>7.1.9.99.90</v>
      </c>
      <c r="N187" s="161" t="str">
        <f>+C187</f>
        <v>OUTRAS RENDAS OPERACIONAIS - DIVERSOS</v>
      </c>
      <c r="O187" s="161">
        <v>0</v>
      </c>
    </row>
    <row r="188" spans="1:15">
      <c r="A188" s="84" t="s">
        <v>588</v>
      </c>
      <c r="B188" s="78">
        <v>-1</v>
      </c>
      <c r="C188" s="78" t="s">
        <v>589</v>
      </c>
      <c r="D188" s="125">
        <f>IFERROR(VLOOKUP($A188,'Balancete 2015'!$A:$D,4,0),"0")+O188</f>
        <v>0</v>
      </c>
      <c r="E188" s="78"/>
      <c r="F188" s="78"/>
      <c r="G188" s="78"/>
      <c r="H188" s="78"/>
      <c r="I188" s="125">
        <f>IFERROR(VLOOKUP($A188,'Balancete 2016'!$A:$D,4,0),"0")</f>
        <v>516.62</v>
      </c>
      <c r="J188" s="6"/>
      <c r="M188" s="87" t="str">
        <f>+A188</f>
        <v>7.1.9.99.90.66</v>
      </c>
      <c r="N188" s="88" t="str">
        <f>+C188</f>
        <v>RDAS OPS - ATUAL MONET S/ OUT OPERACOES/CAIXAPAR</v>
      </c>
      <c r="O188" s="88">
        <v>0</v>
      </c>
    </row>
    <row r="189" spans="1:15">
      <c r="A189" s="77" t="s">
        <v>920</v>
      </c>
      <c r="B189" s="78">
        <v>-1</v>
      </c>
      <c r="C189" s="78" t="s">
        <v>921</v>
      </c>
      <c r="D189" s="125">
        <f>IFERROR(VLOOKUP($A189,'Balancete 2015'!$A:$D,4,0),"0")+O189</f>
        <v>51410.97</v>
      </c>
      <c r="E189" s="78"/>
      <c r="F189" s="78"/>
      <c r="G189" s="78"/>
      <c r="H189" s="78"/>
      <c r="I189" s="125">
        <f>IFERROR(VLOOKUP($A189,'Balancete 2016'!$A:$D,4,0),"0")</f>
        <v>476863.1</v>
      </c>
      <c r="J189" s="6"/>
      <c r="M189" s="87" t="str">
        <f>+A189</f>
        <v>7.1.9.99.90.67</v>
      </c>
      <c r="N189" s="88" t="str">
        <f>+C189</f>
        <v>OUTRAS RDAS OPERACIONAIS - JUROS S/ MUTUO</v>
      </c>
      <c r="O189" s="88">
        <v>0</v>
      </c>
    </row>
    <row r="190" spans="1:15">
      <c r="A190" s="25"/>
      <c r="J190" s="6"/>
    </row>
    <row r="191" spans="1:15">
      <c r="A191" s="25"/>
      <c r="J191" s="6"/>
    </row>
    <row r="192" spans="1:15">
      <c r="A192" s="25"/>
      <c r="J192" s="6"/>
    </row>
    <row r="193" spans="1:10">
      <c r="A193" s="25"/>
      <c r="J193" s="6"/>
    </row>
    <row r="194" spans="1:10">
      <c r="A194" s="25"/>
      <c r="J194" s="6"/>
    </row>
    <row r="195" spans="1:10">
      <c r="A195" s="25"/>
      <c r="J195" s="6"/>
    </row>
    <row r="196" spans="1:10">
      <c r="A196" s="25"/>
      <c r="J196" s="6"/>
    </row>
    <row r="197" spans="1:10">
      <c r="A197" s="25"/>
      <c r="J197" s="6"/>
    </row>
    <row r="198" spans="1:10">
      <c r="A198" s="25"/>
      <c r="J198" s="6"/>
    </row>
    <row r="199" spans="1:10">
      <c r="A199" s="25"/>
      <c r="J199" s="6"/>
    </row>
    <row r="200" spans="1:10">
      <c r="A200" s="25"/>
      <c r="J200" s="6"/>
    </row>
    <row r="201" spans="1:10">
      <c r="A201" s="25"/>
    </row>
    <row r="202" spans="1:10">
      <c r="A202" s="25"/>
    </row>
    <row r="203" spans="1:10">
      <c r="A203" s="25"/>
    </row>
    <row r="204" spans="1:10">
      <c r="A204" s="25"/>
    </row>
    <row r="205" spans="1:10">
      <c r="A205" s="25"/>
    </row>
    <row r="206" spans="1:10">
      <c r="A206" s="25"/>
    </row>
    <row r="207" spans="1:10">
      <c r="A207" s="25"/>
    </row>
    <row r="208" spans="1:10">
      <c r="A208" s="25"/>
    </row>
    <row r="209" spans="1:1">
      <c r="A209" s="25"/>
    </row>
    <row r="210" spans="1:1">
      <c r="A210" s="25"/>
    </row>
    <row r="211" spans="1:1">
      <c r="A211" s="25"/>
    </row>
    <row r="212" spans="1:1">
      <c r="A212" s="25"/>
    </row>
    <row r="213" spans="1:1">
      <c r="A213" s="25"/>
    </row>
    <row r="214" spans="1:1">
      <c r="A214" s="25"/>
    </row>
    <row r="215" spans="1:1">
      <c r="A215" s="25"/>
    </row>
    <row r="216" spans="1:1">
      <c r="A216" s="25"/>
    </row>
    <row r="217" spans="1:1">
      <c r="A217" s="25"/>
    </row>
    <row r="218" spans="1:1">
      <c r="A218" s="25"/>
    </row>
    <row r="219" spans="1:1">
      <c r="A219" s="27"/>
    </row>
    <row r="220" spans="1:1">
      <c r="A220" s="25"/>
    </row>
    <row r="221" spans="1:1">
      <c r="A221" s="25"/>
    </row>
    <row r="222" spans="1:1">
      <c r="A222" s="25"/>
    </row>
    <row r="223" spans="1:1">
      <c r="A223" s="25"/>
    </row>
    <row r="224" spans="1:1">
      <c r="A224" s="25"/>
    </row>
    <row r="225" spans="1:2">
      <c r="A225" s="25"/>
    </row>
    <row r="226" spans="1:2">
      <c r="A226" s="25"/>
    </row>
    <row r="227" spans="1:2">
      <c r="A227" s="25"/>
    </row>
    <row r="228" spans="1:2">
      <c r="A228" s="25"/>
      <c r="B228" s="28"/>
    </row>
    <row r="229" spans="1:2">
      <c r="A229" s="25"/>
    </row>
    <row r="230" spans="1:2">
      <c r="A230" s="25"/>
    </row>
    <row r="231" spans="1:2">
      <c r="A231" s="25"/>
    </row>
    <row r="232" spans="1:2">
      <c r="A232" s="25"/>
    </row>
    <row r="233" spans="1:2">
      <c r="A233" s="25"/>
    </row>
    <row r="234" spans="1:2">
      <c r="A234" s="25"/>
    </row>
    <row r="235" spans="1:2">
      <c r="A235" s="25"/>
    </row>
    <row r="236" spans="1:2">
      <c r="A236" s="25"/>
    </row>
    <row r="237" spans="1:2">
      <c r="A237" s="25"/>
    </row>
    <row r="238" spans="1:2">
      <c r="A238" s="25"/>
    </row>
    <row r="239" spans="1:2">
      <c r="A239" s="25"/>
    </row>
    <row r="240" spans="1:2">
      <c r="A240" s="25"/>
    </row>
    <row r="241" spans="1:1">
      <c r="A241" s="25"/>
    </row>
    <row r="242" spans="1:1">
      <c r="A242" s="25"/>
    </row>
    <row r="243" spans="1:1">
      <c r="A243" s="25"/>
    </row>
    <row r="244" spans="1:1">
      <c r="A244" s="25"/>
    </row>
    <row r="245" spans="1:1">
      <c r="A245" s="25"/>
    </row>
    <row r="246" spans="1:1">
      <c r="A246" s="25"/>
    </row>
    <row r="247" spans="1:1">
      <c r="A247" s="25"/>
    </row>
    <row r="248" spans="1:1">
      <c r="A248" s="25"/>
    </row>
    <row r="249" spans="1:1">
      <c r="A249" s="25"/>
    </row>
    <row r="250" spans="1:1">
      <c r="A250" s="25"/>
    </row>
    <row r="251" spans="1:1">
      <c r="A251" s="25"/>
    </row>
    <row r="252" spans="1:1">
      <c r="A252" s="25"/>
    </row>
  </sheetData>
  <autoFilter ref="A1:Q189" xr:uid="{00000000-0009-0000-0000-000007000000}">
    <filterColumn colId="0" showButton="0"/>
  </autoFilter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3">
    <tabColor theme="4" tint="-0.249977111117893"/>
  </sheetPr>
  <dimension ref="A2:L42"/>
  <sheetViews>
    <sheetView showGridLines="0" tabSelected="1" zoomScale="90" zoomScaleNormal="90" workbookViewId="0">
      <pane ySplit="4" topLeftCell="A5" activePane="bottomLeft" state="frozen"/>
      <selection pane="bottomLeft" activeCell="B3" sqref="B3:C4"/>
    </sheetView>
  </sheetViews>
  <sheetFormatPr defaultRowHeight="12" outlineLevelRow="1" outlineLevelCol="1"/>
  <cols>
    <col min="1" max="1" width="1.7109375" style="195" customWidth="1"/>
    <col min="2" max="2" width="47.85546875" style="208" customWidth="1"/>
    <col min="3" max="3" width="16" style="209" customWidth="1"/>
    <col min="4" max="5" width="12.85546875" style="209" customWidth="1"/>
    <col min="6" max="6" width="12.85546875" style="209" hidden="1" customWidth="1" outlineLevel="1"/>
    <col min="7" max="8" width="15.7109375" style="196" hidden="1" customWidth="1" outlineLevel="1"/>
    <col min="9" max="9" width="15.85546875" style="196" hidden="1" customWidth="1" outlineLevel="1"/>
    <col min="10" max="11" width="15.7109375" style="196" hidden="1" customWidth="1" outlineLevel="1"/>
    <col min="12" max="12" width="3.42578125" style="195" customWidth="1" collapsed="1"/>
    <col min="13" max="16384" width="9.140625" style="195"/>
  </cols>
  <sheetData>
    <row r="2" spans="1:11">
      <c r="D2" s="319">
        <v>44012</v>
      </c>
      <c r="E2" s="319">
        <v>43830</v>
      </c>
      <c r="F2" s="319">
        <v>43921</v>
      </c>
      <c r="G2" s="319">
        <v>43738</v>
      </c>
      <c r="H2" s="319">
        <v>43644</v>
      </c>
      <c r="I2" s="319">
        <v>43553</v>
      </c>
      <c r="J2" s="319">
        <v>43465</v>
      </c>
      <c r="K2" s="319">
        <v>43098</v>
      </c>
    </row>
    <row r="3" spans="1:11" s="198" customFormat="1" ht="15" customHeight="1">
      <c r="A3" s="197"/>
      <c r="B3" s="469" t="s">
        <v>1126</v>
      </c>
      <c r="C3" s="470"/>
      <c r="D3" s="467">
        <v>44012</v>
      </c>
      <c r="E3" s="467">
        <v>43830</v>
      </c>
      <c r="F3" s="467">
        <v>43921</v>
      </c>
      <c r="G3" s="467">
        <v>43738</v>
      </c>
      <c r="H3" s="467">
        <v>43646</v>
      </c>
      <c r="I3" s="467">
        <v>43555</v>
      </c>
      <c r="J3" s="467">
        <v>43465</v>
      </c>
      <c r="K3" s="467">
        <v>43100</v>
      </c>
    </row>
    <row r="4" spans="1:11" s="198" customFormat="1" ht="15" customHeight="1">
      <c r="A4" s="197"/>
      <c r="B4" s="471"/>
      <c r="C4" s="472"/>
      <c r="D4" s="468"/>
      <c r="E4" s="468"/>
      <c r="F4" s="468"/>
      <c r="G4" s="468"/>
      <c r="H4" s="468"/>
      <c r="I4" s="468"/>
      <c r="J4" s="468"/>
      <c r="K4" s="468"/>
    </row>
    <row r="5" spans="1:11" ht="20.100000000000001" customHeight="1">
      <c r="A5" s="199"/>
      <c r="B5" s="210" t="s">
        <v>1010</v>
      </c>
      <c r="C5" s="211"/>
      <c r="D5" s="211">
        <f>D6+D11</f>
        <v>3530523000</v>
      </c>
      <c r="E5" s="211">
        <f>E6+E11</f>
        <v>3747720000</v>
      </c>
      <c r="F5" s="211">
        <f>F6+F11</f>
        <v>3758697000</v>
      </c>
      <c r="G5" s="212">
        <f t="shared" ref="G5:K5" si="0">G6+G11</f>
        <v>3773992000</v>
      </c>
      <c r="H5" s="212">
        <f t="shared" si="0"/>
        <v>3394179000</v>
      </c>
      <c r="I5" s="212">
        <f t="shared" si="0"/>
        <v>3325764000</v>
      </c>
      <c r="J5" s="212">
        <f t="shared" si="0"/>
        <v>3350909000</v>
      </c>
      <c r="K5" s="212">
        <f t="shared" si="0"/>
        <v>3730954000</v>
      </c>
    </row>
    <row r="6" spans="1:11" ht="20.100000000000001" customHeight="1">
      <c r="A6" s="199"/>
      <c r="B6" s="210" t="s">
        <v>1127</v>
      </c>
      <c r="C6" s="211"/>
      <c r="D6" s="211">
        <f>SUM(D7:D10)</f>
        <v>984553000</v>
      </c>
      <c r="E6" s="211">
        <f>SUM(E7:E10)</f>
        <v>1316004000</v>
      </c>
      <c r="F6" s="211">
        <f>SUM(F7:F10)</f>
        <v>1301679000</v>
      </c>
      <c r="G6" s="213">
        <f t="shared" ref="G6:K6" si="1">SUM(G7:G10)</f>
        <v>1829201000</v>
      </c>
      <c r="H6" s="213">
        <f t="shared" si="1"/>
        <v>1298076000</v>
      </c>
      <c r="I6" s="213">
        <f t="shared" si="1"/>
        <v>1287839000</v>
      </c>
      <c r="J6" s="213">
        <f t="shared" si="1"/>
        <v>1333498000</v>
      </c>
      <c r="K6" s="213">
        <f t="shared" si="1"/>
        <v>1639652000</v>
      </c>
    </row>
    <row r="7" spans="1:11" ht="20.100000000000001" customHeight="1">
      <c r="A7" s="200"/>
      <c r="B7" s="214" t="s">
        <v>1128</v>
      </c>
      <c r="C7" s="215" t="s">
        <v>1300</v>
      </c>
      <c r="D7" s="215">
        <v>460043000</v>
      </c>
      <c r="E7" s="215">
        <v>440514000</v>
      </c>
      <c r="F7" s="215">
        <v>444925000</v>
      </c>
      <c r="G7" s="216">
        <v>434801000</v>
      </c>
      <c r="H7" s="216">
        <v>446460000</v>
      </c>
      <c r="I7" s="216">
        <v>528131000</v>
      </c>
      <c r="J7" s="216">
        <v>539947000</v>
      </c>
      <c r="K7" s="216">
        <v>636817000</v>
      </c>
    </row>
    <row r="8" spans="1:11" ht="20.100000000000001" customHeight="1">
      <c r="A8" s="199"/>
      <c r="B8" s="214" t="s">
        <v>1235</v>
      </c>
      <c r="C8" s="215" t="s">
        <v>1322</v>
      </c>
      <c r="D8" s="215">
        <v>413524000</v>
      </c>
      <c r="E8" s="215">
        <v>748026000</v>
      </c>
      <c r="F8" s="215">
        <v>773068000</v>
      </c>
      <c r="G8" s="216">
        <v>1332291000</v>
      </c>
      <c r="H8" s="216">
        <v>800422000</v>
      </c>
      <c r="I8" s="216">
        <v>691994000</v>
      </c>
      <c r="J8" s="216">
        <v>739586000</v>
      </c>
      <c r="K8" s="216">
        <v>994534000</v>
      </c>
    </row>
    <row r="9" spans="1:11" ht="20.100000000000001" customHeight="1">
      <c r="A9" s="199"/>
      <c r="B9" s="214" t="s">
        <v>1236</v>
      </c>
      <c r="C9" s="215" t="s">
        <v>1305</v>
      </c>
      <c r="D9" s="215">
        <v>42764000</v>
      </c>
      <c r="E9" s="215">
        <v>106739000</v>
      </c>
      <c r="F9" s="215">
        <v>61742000</v>
      </c>
      <c r="G9" s="216">
        <v>44033000</v>
      </c>
      <c r="H9" s="216">
        <v>27497000</v>
      </c>
      <c r="I9" s="216">
        <v>43720000</v>
      </c>
      <c r="J9" s="216">
        <v>31298000</v>
      </c>
      <c r="K9" s="216">
        <v>4540000</v>
      </c>
    </row>
    <row r="10" spans="1:11" ht="20.100000000000001" customHeight="1">
      <c r="A10" s="200"/>
      <c r="B10" s="214" t="s">
        <v>1129</v>
      </c>
      <c r="C10" s="215"/>
      <c r="D10" s="215">
        <v>68222000</v>
      </c>
      <c r="E10" s="215">
        <v>20725000</v>
      </c>
      <c r="F10" s="215">
        <v>21944000</v>
      </c>
      <c r="G10" s="215">
        <v>18076000</v>
      </c>
      <c r="H10" s="215">
        <v>23697000</v>
      </c>
      <c r="I10" s="215">
        <v>23994000</v>
      </c>
      <c r="J10" s="215">
        <v>22667000</v>
      </c>
      <c r="K10" s="215">
        <v>3761000</v>
      </c>
    </row>
    <row r="11" spans="1:11" ht="20.100000000000001" customHeight="1">
      <c r="A11" s="200"/>
      <c r="B11" s="210" t="s">
        <v>1130</v>
      </c>
      <c r="C11" s="211"/>
      <c r="D11" s="211">
        <f>D12+D15+D16</f>
        <v>2545970000</v>
      </c>
      <c r="E11" s="211">
        <f>E12+E15+E16</f>
        <v>2431716000</v>
      </c>
      <c r="F11" s="211">
        <f t="shared" ref="F11:K11" si="2">F12+F15+F16</f>
        <v>2457018000</v>
      </c>
      <c r="G11" s="211">
        <f t="shared" si="2"/>
        <v>1944791000</v>
      </c>
      <c r="H11" s="211">
        <f t="shared" si="2"/>
        <v>2096103000</v>
      </c>
      <c r="I11" s="211">
        <f t="shared" si="2"/>
        <v>2037925000</v>
      </c>
      <c r="J11" s="211">
        <f t="shared" si="2"/>
        <v>2017411000</v>
      </c>
      <c r="K11" s="211">
        <f t="shared" si="2"/>
        <v>2091302000</v>
      </c>
    </row>
    <row r="12" spans="1:11" ht="20.100000000000001" customHeight="1">
      <c r="A12" s="200"/>
      <c r="B12" s="312" t="s">
        <v>1131</v>
      </c>
      <c r="C12" s="313"/>
      <c r="D12" s="313">
        <f>D13+D14</f>
        <v>112156000</v>
      </c>
      <c r="E12" s="313">
        <f t="shared" ref="E12" si="3">E13+E14</f>
        <v>57357000</v>
      </c>
      <c r="F12" s="313">
        <f>F13+F14</f>
        <v>55241000</v>
      </c>
      <c r="G12" s="314">
        <f t="shared" ref="G12:H12" si="4">G13+G14</f>
        <v>53301000</v>
      </c>
      <c r="H12" s="314">
        <f t="shared" si="4"/>
        <v>51926000</v>
      </c>
      <c r="I12" s="314">
        <f t="shared" ref="I12" si="5">I13+I14</f>
        <v>50804000</v>
      </c>
      <c r="J12" s="314">
        <f>J13+J14</f>
        <v>46920000</v>
      </c>
      <c r="K12" s="314">
        <f>K13+K14</f>
        <v>4323000</v>
      </c>
    </row>
    <row r="13" spans="1:11" ht="20.100000000000001" hidden="1" customHeight="1" outlineLevel="1">
      <c r="A13" s="200"/>
      <c r="B13" s="217" t="s">
        <v>1237</v>
      </c>
      <c r="C13" s="215" t="s">
        <v>1301</v>
      </c>
      <c r="D13" s="215">
        <v>0</v>
      </c>
      <c r="E13" s="215">
        <v>0</v>
      </c>
      <c r="F13" s="215">
        <v>0</v>
      </c>
      <c r="G13" s="216">
        <v>7279000</v>
      </c>
      <c r="H13" s="216">
        <v>7168000</v>
      </c>
      <c r="I13" s="216">
        <v>7059000</v>
      </c>
      <c r="J13" s="216">
        <v>4539000</v>
      </c>
      <c r="K13" s="216">
        <v>4265000</v>
      </c>
    </row>
    <row r="14" spans="1:11" ht="20.100000000000001" customHeight="1" collapsed="1">
      <c r="A14" s="200"/>
      <c r="B14" s="218" t="s">
        <v>1334</v>
      </c>
      <c r="C14" s="215" t="s">
        <v>1331</v>
      </c>
      <c r="D14" s="316">
        <v>112156000</v>
      </c>
      <c r="E14" s="215">
        <v>57357000</v>
      </c>
      <c r="F14" s="316">
        <v>55241000</v>
      </c>
      <c r="G14" s="215">
        <v>46022000</v>
      </c>
      <c r="H14" s="215">
        <v>44758000</v>
      </c>
      <c r="I14" s="215">
        <v>43745000</v>
      </c>
      <c r="J14" s="215">
        <v>42381000</v>
      </c>
      <c r="K14" s="215">
        <v>58000</v>
      </c>
    </row>
    <row r="15" spans="1:11" ht="20.100000000000001" customHeight="1">
      <c r="A15" s="199"/>
      <c r="B15" s="315" t="s">
        <v>1118</v>
      </c>
      <c r="C15" s="215" t="s">
        <v>1231</v>
      </c>
      <c r="D15" s="316">
        <v>2433814000</v>
      </c>
      <c r="E15" s="316">
        <v>2374359000</v>
      </c>
      <c r="F15" s="316">
        <v>2401777000</v>
      </c>
      <c r="G15" s="314">
        <v>1891490000</v>
      </c>
      <c r="H15" s="314">
        <v>2044177000</v>
      </c>
      <c r="I15" s="314">
        <v>1987121000</v>
      </c>
      <c r="J15" s="314">
        <v>1970491000</v>
      </c>
      <c r="K15" s="314">
        <v>2086979000</v>
      </c>
    </row>
    <row r="16" spans="1:11" ht="20.100000000000001" hidden="1" customHeight="1" outlineLevel="1">
      <c r="A16" s="199"/>
      <c r="B16" s="223" t="s">
        <v>1348</v>
      </c>
      <c r="C16" s="215"/>
      <c r="D16" s="316">
        <v>0</v>
      </c>
      <c r="E16" s="316">
        <v>0</v>
      </c>
      <c r="F16" s="316">
        <v>0</v>
      </c>
      <c r="G16" s="314">
        <v>0</v>
      </c>
      <c r="H16" s="314">
        <v>0</v>
      </c>
      <c r="I16" s="314">
        <v>0</v>
      </c>
      <c r="J16" s="314">
        <v>0</v>
      </c>
      <c r="K16" s="314">
        <v>0</v>
      </c>
    </row>
    <row r="17" spans="1:11" ht="20.100000000000001" customHeight="1" collapsed="1">
      <c r="A17" s="199"/>
      <c r="B17" s="220" t="s">
        <v>1132</v>
      </c>
      <c r="C17" s="215"/>
      <c r="D17" s="221">
        <f>D18+D25+D27</f>
        <v>3530523000</v>
      </c>
      <c r="E17" s="221">
        <f>E18+E25+E27</f>
        <v>3747720000</v>
      </c>
      <c r="F17" s="221">
        <f>F18+F25+F27</f>
        <v>3758697000</v>
      </c>
      <c r="G17" s="213">
        <f t="shared" ref="G17:K17" si="6">G18+G25+G27</f>
        <v>3773992000</v>
      </c>
      <c r="H17" s="213">
        <f t="shared" si="6"/>
        <v>3394179000</v>
      </c>
      <c r="I17" s="213">
        <f t="shared" si="6"/>
        <v>3325764000</v>
      </c>
      <c r="J17" s="213">
        <f t="shared" si="6"/>
        <v>3350909000</v>
      </c>
      <c r="K17" s="213">
        <f t="shared" si="6"/>
        <v>3730954000</v>
      </c>
    </row>
    <row r="18" spans="1:11" ht="20.100000000000001" customHeight="1">
      <c r="A18" s="199"/>
      <c r="B18" s="317" t="s">
        <v>1133</v>
      </c>
      <c r="C18" s="215"/>
      <c r="D18" s="408">
        <f>SUM(D19:D24)</f>
        <v>159766000</v>
      </c>
      <c r="E18" s="408">
        <f>SUM(E19:E24)</f>
        <v>299414000</v>
      </c>
      <c r="F18" s="408">
        <f t="shared" ref="F18:K18" si="7">SUM(F19:F24)</f>
        <v>294989000</v>
      </c>
      <c r="G18" s="408">
        <f t="shared" si="7"/>
        <v>330780000</v>
      </c>
      <c r="H18" s="408">
        <f t="shared" si="7"/>
        <v>249486000</v>
      </c>
      <c r="I18" s="408">
        <f t="shared" si="7"/>
        <v>241398000</v>
      </c>
      <c r="J18" s="408">
        <f t="shared" si="7"/>
        <v>293950000</v>
      </c>
      <c r="K18" s="408">
        <f t="shared" si="7"/>
        <v>28306000</v>
      </c>
    </row>
    <row r="19" spans="1:11" ht="20.100000000000001" hidden="1" customHeight="1" outlineLevel="1">
      <c r="A19" s="199"/>
      <c r="B19" s="222" t="s">
        <v>1349</v>
      </c>
      <c r="C19" s="215"/>
      <c r="D19" s="219">
        <v>0</v>
      </c>
      <c r="E19" s="219">
        <v>0</v>
      </c>
      <c r="F19" s="219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</row>
    <row r="20" spans="1:11" ht="20.100000000000001" customHeight="1" collapsed="1">
      <c r="A20" s="199"/>
      <c r="B20" s="222" t="s">
        <v>1134</v>
      </c>
      <c r="C20" s="215" t="s">
        <v>1340</v>
      </c>
      <c r="D20" s="219">
        <v>356000</v>
      </c>
      <c r="E20" s="219">
        <v>526000</v>
      </c>
      <c r="F20" s="219">
        <v>220000</v>
      </c>
      <c r="G20" s="216">
        <v>68877000</v>
      </c>
      <c r="H20" s="216">
        <v>5378000</v>
      </c>
      <c r="I20" s="216">
        <v>3904000</v>
      </c>
      <c r="J20" s="216">
        <v>61852000</v>
      </c>
      <c r="K20" s="216">
        <v>5107000</v>
      </c>
    </row>
    <row r="21" spans="1:11" ht="20.100000000000001" customHeight="1">
      <c r="A21" s="199"/>
      <c r="B21" s="223" t="s">
        <v>1135</v>
      </c>
      <c r="C21" s="215" t="s">
        <v>1330</v>
      </c>
      <c r="D21" s="219">
        <v>19353000</v>
      </c>
      <c r="E21" s="219">
        <v>158016000</v>
      </c>
      <c r="F21" s="219">
        <v>158165000</v>
      </c>
      <c r="G21" s="216">
        <v>125844000</v>
      </c>
      <c r="H21" s="216">
        <v>113985000</v>
      </c>
      <c r="I21" s="216">
        <v>110265000</v>
      </c>
      <c r="J21" s="216">
        <v>108852000</v>
      </c>
      <c r="K21" s="216">
        <v>22415000</v>
      </c>
    </row>
    <row r="22" spans="1:11" ht="20.100000000000001" customHeight="1">
      <c r="A22" s="199"/>
      <c r="B22" s="223" t="s">
        <v>1277</v>
      </c>
      <c r="C22" s="215" t="s">
        <v>1302</v>
      </c>
      <c r="D22" s="219">
        <v>127324000</v>
      </c>
      <c r="E22" s="219">
        <v>123005000</v>
      </c>
      <c r="F22" s="219">
        <v>125477000</v>
      </c>
      <c r="G22" s="216">
        <v>119277000</v>
      </c>
      <c r="H22" s="216">
        <v>116772000</v>
      </c>
      <c r="I22" s="216">
        <v>114153000</v>
      </c>
      <c r="J22" s="216">
        <v>111305000</v>
      </c>
      <c r="K22" s="216">
        <v>0</v>
      </c>
    </row>
    <row r="23" spans="1:11" ht="20.100000000000001" customHeight="1">
      <c r="A23" s="199"/>
      <c r="B23" s="223" t="s">
        <v>1278</v>
      </c>
      <c r="C23" s="215"/>
      <c r="D23" s="219">
        <v>0</v>
      </c>
      <c r="E23" s="219">
        <v>1000</v>
      </c>
      <c r="F23" s="219">
        <v>0</v>
      </c>
      <c r="G23" s="216">
        <v>0</v>
      </c>
      <c r="H23" s="216">
        <v>1000</v>
      </c>
      <c r="I23" s="216">
        <v>47000</v>
      </c>
      <c r="J23" s="216">
        <v>49000</v>
      </c>
      <c r="K23" s="216">
        <v>0</v>
      </c>
    </row>
    <row r="24" spans="1:11" ht="20.100000000000001" customHeight="1">
      <c r="A24" s="199"/>
      <c r="B24" s="222" t="s">
        <v>1136</v>
      </c>
      <c r="C24" s="215" t="s">
        <v>1332</v>
      </c>
      <c r="D24" s="224">
        <v>12733000</v>
      </c>
      <c r="E24" s="224">
        <v>17866000</v>
      </c>
      <c r="F24" s="224">
        <v>11127000</v>
      </c>
      <c r="G24" s="216">
        <v>16782000</v>
      </c>
      <c r="H24" s="216">
        <v>13350000</v>
      </c>
      <c r="I24" s="216">
        <v>13029000</v>
      </c>
      <c r="J24" s="216">
        <v>11892000</v>
      </c>
      <c r="K24" s="216">
        <v>784000</v>
      </c>
    </row>
    <row r="25" spans="1:11" ht="20.100000000000001" customHeight="1">
      <c r="A25" s="199"/>
      <c r="B25" s="317" t="s">
        <v>1137</v>
      </c>
      <c r="C25" s="215"/>
      <c r="D25" s="408">
        <f t="shared" ref="D25:K25" si="8">D26</f>
        <v>33878000</v>
      </c>
      <c r="E25" s="408">
        <f>E26</f>
        <v>44186000</v>
      </c>
      <c r="F25" s="408">
        <f t="shared" si="8"/>
        <v>26140000</v>
      </c>
      <c r="G25" s="318">
        <f t="shared" si="8"/>
        <v>34629000</v>
      </c>
      <c r="H25" s="318">
        <f t="shared" si="8"/>
        <v>27982000</v>
      </c>
      <c r="I25" s="318">
        <f t="shared" si="8"/>
        <v>33337000</v>
      </c>
      <c r="J25" s="318">
        <f t="shared" si="8"/>
        <v>28387000</v>
      </c>
      <c r="K25" s="318">
        <f t="shared" si="8"/>
        <v>266453000</v>
      </c>
    </row>
    <row r="26" spans="1:11" ht="20.100000000000001" customHeight="1">
      <c r="A26" s="199"/>
      <c r="B26" s="222" t="s">
        <v>1233</v>
      </c>
      <c r="C26" s="215" t="s">
        <v>1331</v>
      </c>
      <c r="D26" s="219">
        <v>33878000</v>
      </c>
      <c r="E26" s="219">
        <v>44186000</v>
      </c>
      <c r="F26" s="219">
        <v>26140000</v>
      </c>
      <c r="G26" s="216">
        <v>34629000</v>
      </c>
      <c r="H26" s="216">
        <v>27982000</v>
      </c>
      <c r="I26" s="216">
        <v>33337000</v>
      </c>
      <c r="J26" s="216">
        <v>28387000</v>
      </c>
      <c r="K26" s="216">
        <v>266453000</v>
      </c>
    </row>
    <row r="27" spans="1:11" ht="20.100000000000001" customHeight="1">
      <c r="A27" s="199"/>
      <c r="B27" s="317" t="s">
        <v>1003</v>
      </c>
      <c r="C27" s="215" t="s">
        <v>1303</v>
      </c>
      <c r="D27" s="408">
        <f>SUM(D28:D32)</f>
        <v>3336879000</v>
      </c>
      <c r="E27" s="408">
        <f>SUM(E28:E32)</f>
        <v>3404120000</v>
      </c>
      <c r="F27" s="408">
        <f>SUM(F28:F32)</f>
        <v>3437568000</v>
      </c>
      <c r="G27" s="318">
        <f t="shared" ref="G27:K27" si="9">SUM(G28:G32)</f>
        <v>3408583000</v>
      </c>
      <c r="H27" s="318">
        <f t="shared" si="9"/>
        <v>3116711000</v>
      </c>
      <c r="I27" s="318">
        <f t="shared" si="9"/>
        <v>3051029000</v>
      </c>
      <c r="J27" s="318">
        <f t="shared" si="9"/>
        <v>3028572000</v>
      </c>
      <c r="K27" s="318">
        <f t="shared" si="9"/>
        <v>3436195000</v>
      </c>
    </row>
    <row r="28" spans="1:11" ht="20.100000000000001" customHeight="1">
      <c r="A28" s="199"/>
      <c r="B28" s="222" t="s">
        <v>256</v>
      </c>
      <c r="C28" s="215"/>
      <c r="D28" s="224">
        <v>2854864000</v>
      </c>
      <c r="E28" s="224">
        <v>2854884000</v>
      </c>
      <c r="F28" s="224">
        <v>2854884000</v>
      </c>
      <c r="G28" s="216">
        <v>2854884000</v>
      </c>
      <c r="H28" s="216">
        <v>2854884000</v>
      </c>
      <c r="I28" s="216">
        <v>2821931000</v>
      </c>
      <c r="J28" s="216">
        <v>2821931000</v>
      </c>
      <c r="K28" s="216">
        <v>2903636000</v>
      </c>
    </row>
    <row r="29" spans="1:11" ht="20.100000000000001" customHeight="1">
      <c r="A29" s="199"/>
      <c r="B29" s="223" t="s">
        <v>608</v>
      </c>
      <c r="C29" s="215"/>
      <c r="D29" s="219">
        <v>142972000</v>
      </c>
      <c r="E29" s="219">
        <v>142972000</v>
      </c>
      <c r="F29" s="219">
        <v>142972000</v>
      </c>
      <c r="G29" s="216">
        <v>123680000</v>
      </c>
      <c r="H29" s="216">
        <v>123680000</v>
      </c>
      <c r="I29" s="216">
        <v>345743000</v>
      </c>
      <c r="J29" s="216">
        <v>345743000</v>
      </c>
      <c r="K29" s="216">
        <v>143363000</v>
      </c>
    </row>
    <row r="30" spans="1:11" ht="20.100000000000001" customHeight="1">
      <c r="A30" s="199"/>
      <c r="B30" s="214" t="s">
        <v>1285</v>
      </c>
      <c r="C30" s="215"/>
      <c r="D30" s="215">
        <v>0</v>
      </c>
      <c r="E30" s="215">
        <v>274914000</v>
      </c>
      <c r="F30" s="215">
        <v>274914000</v>
      </c>
      <c r="G30" s="216">
        <v>189110000</v>
      </c>
      <c r="H30" s="216">
        <v>189110000</v>
      </c>
      <c r="I30" s="216">
        <v>0</v>
      </c>
      <c r="J30" s="216">
        <v>0</v>
      </c>
      <c r="K30" s="216">
        <v>0</v>
      </c>
    </row>
    <row r="31" spans="1:11" ht="20.100000000000001" customHeight="1">
      <c r="A31" s="199"/>
      <c r="B31" s="214" t="s">
        <v>1119</v>
      </c>
      <c r="C31" s="215"/>
      <c r="D31" s="215">
        <v>76868000</v>
      </c>
      <c r="E31" s="215">
        <v>131350000</v>
      </c>
      <c r="F31" s="215">
        <v>128598000</v>
      </c>
      <c r="G31" s="216">
        <v>-36136000</v>
      </c>
      <c r="H31" s="216">
        <v>-140580000</v>
      </c>
      <c r="I31" s="216">
        <v>-140565000</v>
      </c>
      <c r="J31" s="216">
        <v>-139102000</v>
      </c>
      <c r="K31" s="216">
        <v>389196000</v>
      </c>
    </row>
    <row r="32" spans="1:11" ht="20.100000000000001" customHeight="1" outlineLevel="1">
      <c r="A32" s="199"/>
      <c r="B32" s="214" t="s">
        <v>1282</v>
      </c>
      <c r="C32" s="215"/>
      <c r="D32" s="215">
        <v>262175000</v>
      </c>
      <c r="E32" s="215">
        <v>0</v>
      </c>
      <c r="F32" s="215">
        <v>36200000</v>
      </c>
      <c r="G32" s="216">
        <v>277045000</v>
      </c>
      <c r="H32" s="216">
        <v>89617000</v>
      </c>
      <c r="I32" s="216">
        <v>23920000</v>
      </c>
      <c r="J32" s="216">
        <v>0</v>
      </c>
      <c r="K32" s="216">
        <v>0</v>
      </c>
    </row>
    <row r="33" spans="1:11" ht="20.100000000000001" customHeight="1" outlineLevel="1">
      <c r="A33" s="199"/>
      <c r="B33" s="327" t="s">
        <v>1290</v>
      </c>
      <c r="C33" s="224"/>
      <c r="D33" s="328">
        <v>265894000</v>
      </c>
      <c r="E33" s="328">
        <v>387173000</v>
      </c>
      <c r="F33" s="328">
        <v>37330000</v>
      </c>
      <c r="G33" s="328">
        <v>276609000</v>
      </c>
      <c r="H33" s="328">
        <v>88285000</v>
      </c>
      <c r="I33" s="328">
        <v>21654000</v>
      </c>
      <c r="J33" s="328">
        <v>0</v>
      </c>
      <c r="K33" s="328">
        <v>0</v>
      </c>
    </row>
    <row r="34" spans="1:11" ht="15" customHeight="1">
      <c r="A34" s="199"/>
      <c r="B34" s="329" t="s">
        <v>345</v>
      </c>
      <c r="C34" s="330"/>
      <c r="D34" s="416"/>
      <c r="E34" s="330"/>
      <c r="F34" s="416"/>
      <c r="G34" s="331"/>
      <c r="H34" s="331"/>
      <c r="I34" s="331"/>
      <c r="J34" s="405"/>
      <c r="K34" s="331"/>
    </row>
    <row r="35" spans="1:11" ht="15" customHeight="1">
      <c r="A35" s="199"/>
      <c r="E35" s="456"/>
    </row>
    <row r="36" spans="1:11" ht="15" customHeight="1">
      <c r="A36" s="201"/>
    </row>
    <row r="37" spans="1:11" s="202" customFormat="1">
      <c r="B37" s="343" t="s">
        <v>1239</v>
      </c>
      <c r="C37" s="343"/>
      <c r="D37" s="343"/>
      <c r="E37" s="343"/>
      <c r="F37" s="343"/>
      <c r="G37" s="343"/>
      <c r="H37" s="343"/>
      <c r="I37" s="343"/>
      <c r="J37" s="343"/>
      <c r="K37" s="343"/>
    </row>
    <row r="38" spans="1:11" s="202" customFormat="1">
      <c r="B38" s="204" t="s">
        <v>1319</v>
      </c>
      <c r="C38" s="227"/>
      <c r="D38" s="227">
        <f t="shared" ref="D38:K38" si="10">D5-D17</f>
        <v>0</v>
      </c>
      <c r="E38" s="227">
        <f t="shared" si="10"/>
        <v>0</v>
      </c>
      <c r="F38" s="227">
        <f t="shared" si="10"/>
        <v>0</v>
      </c>
      <c r="G38" s="227">
        <f t="shared" si="10"/>
        <v>0</v>
      </c>
      <c r="H38" s="227">
        <f t="shared" si="10"/>
        <v>0</v>
      </c>
      <c r="I38" s="227">
        <f t="shared" si="10"/>
        <v>0</v>
      </c>
      <c r="J38" s="227">
        <f t="shared" si="10"/>
        <v>0</v>
      </c>
      <c r="K38" s="227">
        <f t="shared" si="10"/>
        <v>0</v>
      </c>
    </row>
    <row r="39" spans="1:11" s="202" customFormat="1">
      <c r="B39" s="204" t="s">
        <v>1010</v>
      </c>
      <c r="C39" s="227"/>
      <c r="D39" s="227">
        <v>3530522677.7700005</v>
      </c>
      <c r="E39" s="227">
        <v>3747719960.8299999</v>
      </c>
      <c r="F39" s="227">
        <v>3758696507.0900002</v>
      </c>
      <c r="G39" s="227">
        <v>3773991777.0500002</v>
      </c>
      <c r="H39" s="227">
        <v>3394178555.5100002</v>
      </c>
      <c r="I39" s="227">
        <v>3325764485.1500001</v>
      </c>
      <c r="J39" s="227">
        <v>3350908741.0500002</v>
      </c>
      <c r="K39" s="227">
        <v>3730952913.9699993</v>
      </c>
    </row>
    <row r="40" spans="1:11" s="202" customFormat="1">
      <c r="B40" s="344" t="s">
        <v>1294</v>
      </c>
      <c r="C40" s="228"/>
      <c r="D40" s="228">
        <f t="shared" ref="D40:K40" si="11">ROUND(D5-D39,-3)+D38</f>
        <v>0</v>
      </c>
      <c r="E40" s="228">
        <f t="shared" si="11"/>
        <v>0</v>
      </c>
      <c r="F40" s="228">
        <f t="shared" si="11"/>
        <v>0</v>
      </c>
      <c r="G40" s="228">
        <f t="shared" si="11"/>
        <v>0</v>
      </c>
      <c r="H40" s="228">
        <f t="shared" si="11"/>
        <v>0</v>
      </c>
      <c r="I40" s="228">
        <f t="shared" si="11"/>
        <v>0</v>
      </c>
      <c r="J40" s="228">
        <f t="shared" si="11"/>
        <v>0</v>
      </c>
      <c r="K40" s="228">
        <f t="shared" si="11"/>
        <v>1000</v>
      </c>
    </row>
    <row r="41" spans="1:11" s="202" customFormat="1">
      <c r="B41" s="207"/>
      <c r="C41" s="228"/>
      <c r="D41" s="228"/>
      <c r="E41" s="228"/>
      <c r="F41" s="228"/>
      <c r="G41" s="228"/>
      <c r="H41" s="228"/>
      <c r="I41" s="228"/>
      <c r="J41" s="228"/>
      <c r="K41" s="228"/>
    </row>
    <row r="42" spans="1:11" s="202" customFormat="1">
      <c r="B42" s="207"/>
      <c r="C42" s="228"/>
      <c r="D42" s="228"/>
      <c r="E42" s="228"/>
      <c r="F42" s="228"/>
      <c r="G42" s="228"/>
      <c r="H42" s="228"/>
      <c r="I42" s="228"/>
      <c r="J42" s="228"/>
      <c r="K42" s="228"/>
    </row>
  </sheetData>
  <mergeCells count="9">
    <mergeCell ref="K3:K4"/>
    <mergeCell ref="E3:E4"/>
    <mergeCell ref="F3:F4"/>
    <mergeCell ref="B3:C4"/>
    <mergeCell ref="J3:J4"/>
    <mergeCell ref="I3:I4"/>
    <mergeCell ref="H3:H4"/>
    <mergeCell ref="G3:G4"/>
    <mergeCell ref="D3:D4"/>
  </mergeCells>
  <phoneticPr fontId="27" type="noConversion"/>
  <conditionalFormatting sqref="B28:B29 B31:C31 C32:C33 E28:E29 E31:E32 G2:K2 E2 E33:F33 D11:K11 D18:K18">
    <cfRule type="cellIs" dxfId="538" priority="1636" operator="lessThan">
      <formula>0</formula>
    </cfRule>
  </conditionalFormatting>
  <conditionalFormatting sqref="E27">
    <cfRule type="cellIs" dxfId="537" priority="1384" operator="lessThan">
      <formula>0</formula>
    </cfRule>
  </conditionalFormatting>
  <conditionalFormatting sqref="C9:C10 E9:E10">
    <cfRule type="cellIs" dxfId="536" priority="1381" operator="lessThan">
      <formula>0</formula>
    </cfRule>
  </conditionalFormatting>
  <conditionalFormatting sqref="C8 E8">
    <cfRule type="cellIs" dxfId="535" priority="1382" operator="lessThan">
      <formula>0</formula>
    </cfRule>
  </conditionalFormatting>
  <conditionalFormatting sqref="E18">
    <cfRule type="cellIs" dxfId="534" priority="1373" operator="lessThan">
      <formula>0</formula>
    </cfRule>
  </conditionalFormatting>
  <conditionalFormatting sqref="J3">
    <cfRule type="cellIs" dxfId="533" priority="1207" operator="lessThan">
      <formula>0</formula>
    </cfRule>
  </conditionalFormatting>
  <conditionalFormatting sqref="C11 C5:C7 E5:E7 E11">
    <cfRule type="cellIs" dxfId="532" priority="1383" operator="lessThan">
      <formula>0</formula>
    </cfRule>
  </conditionalFormatting>
  <conditionalFormatting sqref="E18">
    <cfRule type="cellIs" dxfId="531" priority="1374" operator="lessThan">
      <formula>0</formula>
    </cfRule>
  </conditionalFormatting>
  <conditionalFormatting sqref="E17">
    <cfRule type="cellIs" dxfId="530" priority="1385" operator="lessThan">
      <formula>0</formula>
    </cfRule>
  </conditionalFormatting>
  <conditionalFormatting sqref="C9:C10 E9:E10">
    <cfRule type="cellIs" dxfId="529" priority="1380" operator="lessThan">
      <formula>0</formula>
    </cfRule>
  </conditionalFormatting>
  <conditionalFormatting sqref="C9 E9">
    <cfRule type="cellIs" dxfId="528" priority="1379" operator="lessThan">
      <formula>0</formula>
    </cfRule>
  </conditionalFormatting>
  <conditionalFormatting sqref="C10 E10">
    <cfRule type="cellIs" dxfId="527" priority="1378" operator="lessThan">
      <formula>0</formula>
    </cfRule>
  </conditionalFormatting>
  <conditionalFormatting sqref="E15 C12:C13 E21 E24 E12:E13">
    <cfRule type="cellIs" dxfId="526" priority="1377" operator="lessThan">
      <formula>0</formula>
    </cfRule>
  </conditionalFormatting>
  <conditionalFormatting sqref="E15 C12:C13 E21 E24 E12:E13">
    <cfRule type="cellIs" dxfId="525" priority="1376" operator="lessThan">
      <formula>0</formula>
    </cfRule>
  </conditionalFormatting>
  <conditionalFormatting sqref="E15 C12:C13 E21 E24 E12:E13">
    <cfRule type="cellIs" dxfId="524" priority="1375" operator="lessThan">
      <formula>0</formula>
    </cfRule>
  </conditionalFormatting>
  <conditionalFormatting sqref="E18">
    <cfRule type="cellIs" dxfId="523" priority="1371" operator="lessThan">
      <formula>0</formula>
    </cfRule>
  </conditionalFormatting>
  <conditionalFormatting sqref="E18">
    <cfRule type="cellIs" dxfId="522" priority="1370" operator="lessThan">
      <formula>0</formula>
    </cfRule>
  </conditionalFormatting>
  <conditionalFormatting sqref="E21">
    <cfRule type="cellIs" dxfId="521" priority="1369" operator="lessThan">
      <formula>0</formula>
    </cfRule>
  </conditionalFormatting>
  <conditionalFormatting sqref="E21">
    <cfRule type="cellIs" dxfId="520" priority="1368" operator="lessThan">
      <formula>0</formula>
    </cfRule>
  </conditionalFormatting>
  <conditionalFormatting sqref="E21">
    <cfRule type="cellIs" dxfId="519" priority="1367" operator="lessThan">
      <formula>0</formula>
    </cfRule>
  </conditionalFormatting>
  <conditionalFormatting sqref="E25">
    <cfRule type="cellIs" dxfId="518" priority="1354" operator="lessThan">
      <formula>0</formula>
    </cfRule>
  </conditionalFormatting>
  <conditionalFormatting sqref="B10">
    <cfRule type="cellIs" dxfId="517" priority="1343" operator="lessThan">
      <formula>0</formula>
    </cfRule>
  </conditionalFormatting>
  <conditionalFormatting sqref="B26 B20:B21 B12:B13 B15 B24">
    <cfRule type="cellIs" dxfId="516" priority="1342" operator="lessThan">
      <formula>0</formula>
    </cfRule>
  </conditionalFormatting>
  <conditionalFormatting sqref="B17">
    <cfRule type="cellIs" dxfId="515" priority="1350" operator="lessThan">
      <formula>0</formula>
    </cfRule>
  </conditionalFormatting>
  <conditionalFormatting sqref="B27">
    <cfRule type="cellIs" dxfId="514" priority="1349" operator="lessThan">
      <formula>0</formula>
    </cfRule>
  </conditionalFormatting>
  <conditionalFormatting sqref="B11 B5:B7">
    <cfRule type="cellIs" dxfId="513" priority="1348" operator="lessThan">
      <formula>0</formula>
    </cfRule>
  </conditionalFormatting>
  <conditionalFormatting sqref="B18">
    <cfRule type="cellIs" dxfId="512" priority="1339" operator="lessThan">
      <formula>0</formula>
    </cfRule>
  </conditionalFormatting>
  <conditionalFormatting sqref="B18">
    <cfRule type="cellIs" dxfId="511" priority="1338" operator="lessThan">
      <formula>0</formula>
    </cfRule>
  </conditionalFormatting>
  <conditionalFormatting sqref="B26 B20:B21 B12:B13 B15 B24">
    <cfRule type="cellIs" dxfId="510" priority="1341" operator="lessThan">
      <formula>0</formula>
    </cfRule>
  </conditionalFormatting>
  <conditionalFormatting sqref="B9:B10">
    <cfRule type="cellIs" dxfId="509" priority="1346" operator="lessThan">
      <formula>0</formula>
    </cfRule>
  </conditionalFormatting>
  <conditionalFormatting sqref="B8">
    <cfRule type="cellIs" dxfId="508" priority="1347" operator="lessThan">
      <formula>0</formula>
    </cfRule>
  </conditionalFormatting>
  <conditionalFormatting sqref="B9:B10">
    <cfRule type="cellIs" dxfId="507" priority="1345" operator="lessThan">
      <formula>0</formula>
    </cfRule>
  </conditionalFormatting>
  <conditionalFormatting sqref="B9">
    <cfRule type="cellIs" dxfId="506" priority="1344" operator="lessThan">
      <formula>0</formula>
    </cfRule>
  </conditionalFormatting>
  <conditionalFormatting sqref="B26 B20:B21 B12:B13 B15 B24">
    <cfRule type="cellIs" dxfId="505" priority="1340" operator="lessThan">
      <formula>0</formula>
    </cfRule>
  </conditionalFormatting>
  <conditionalFormatting sqref="B18">
    <cfRule type="cellIs" dxfId="504" priority="1336" operator="lessThan">
      <formula>0</formula>
    </cfRule>
  </conditionalFormatting>
  <conditionalFormatting sqref="B18">
    <cfRule type="cellIs" dxfId="503" priority="1335" operator="lessThan">
      <formula>0</formula>
    </cfRule>
  </conditionalFormatting>
  <conditionalFormatting sqref="B21">
    <cfRule type="cellIs" dxfId="502" priority="1334" operator="lessThan">
      <formula>0</formula>
    </cfRule>
  </conditionalFormatting>
  <conditionalFormatting sqref="B21">
    <cfRule type="cellIs" dxfId="501" priority="1333" operator="lessThan">
      <formula>0</formula>
    </cfRule>
  </conditionalFormatting>
  <conditionalFormatting sqref="B21">
    <cfRule type="cellIs" dxfId="500" priority="1332" operator="lessThan">
      <formula>0</formula>
    </cfRule>
  </conditionalFormatting>
  <conditionalFormatting sqref="B25">
    <cfRule type="cellIs" dxfId="499" priority="1319" operator="lessThan">
      <formula>0</formula>
    </cfRule>
  </conditionalFormatting>
  <conditionalFormatting sqref="B14">
    <cfRule type="cellIs" dxfId="498" priority="1124" operator="lessThan">
      <formula>0</formula>
    </cfRule>
  </conditionalFormatting>
  <conditionalFormatting sqref="B14">
    <cfRule type="cellIs" dxfId="497" priority="1123" operator="lessThan">
      <formula>0</formula>
    </cfRule>
  </conditionalFormatting>
  <conditionalFormatting sqref="B14">
    <cfRule type="cellIs" dxfId="496" priority="1122" operator="lessThan">
      <formula>0</formula>
    </cfRule>
  </conditionalFormatting>
  <conditionalFormatting sqref="E20">
    <cfRule type="cellIs" dxfId="495" priority="928" operator="lessThan">
      <formula>0</formula>
    </cfRule>
  </conditionalFormatting>
  <conditionalFormatting sqref="E20">
    <cfRule type="cellIs" dxfId="494" priority="927" operator="lessThan">
      <formula>0</formula>
    </cfRule>
  </conditionalFormatting>
  <conditionalFormatting sqref="E20">
    <cfRule type="cellIs" dxfId="493" priority="926" operator="lessThan">
      <formula>0</formula>
    </cfRule>
  </conditionalFormatting>
  <conditionalFormatting sqref="E20">
    <cfRule type="cellIs" dxfId="492" priority="925" operator="lessThan">
      <formula>0</formula>
    </cfRule>
  </conditionalFormatting>
  <conditionalFormatting sqref="E20">
    <cfRule type="cellIs" dxfId="491" priority="924" operator="lessThan">
      <formula>0</formula>
    </cfRule>
  </conditionalFormatting>
  <conditionalFormatting sqref="E20">
    <cfRule type="cellIs" dxfId="490" priority="923" operator="lessThan">
      <formula>0</formula>
    </cfRule>
  </conditionalFormatting>
  <conditionalFormatting sqref="E26">
    <cfRule type="cellIs" dxfId="489" priority="922" operator="lessThan">
      <formula>0</formula>
    </cfRule>
  </conditionalFormatting>
  <conditionalFormatting sqref="E26">
    <cfRule type="cellIs" dxfId="488" priority="921" operator="lessThan">
      <formula>0</formula>
    </cfRule>
  </conditionalFormatting>
  <conditionalFormatting sqref="E26">
    <cfRule type="cellIs" dxfId="487" priority="920" operator="lessThan">
      <formula>0</formula>
    </cfRule>
  </conditionalFormatting>
  <conditionalFormatting sqref="E26">
    <cfRule type="cellIs" dxfId="486" priority="919" operator="lessThan">
      <formula>0</formula>
    </cfRule>
  </conditionalFormatting>
  <conditionalFormatting sqref="E26">
    <cfRule type="cellIs" dxfId="485" priority="918" operator="lessThan">
      <formula>0</formula>
    </cfRule>
  </conditionalFormatting>
  <conditionalFormatting sqref="E26">
    <cfRule type="cellIs" dxfId="484" priority="917" operator="lessThan">
      <formula>0</formula>
    </cfRule>
  </conditionalFormatting>
  <conditionalFormatting sqref="E22">
    <cfRule type="cellIs" dxfId="483" priority="916" operator="lessThan">
      <formula>0</formula>
    </cfRule>
  </conditionalFormatting>
  <conditionalFormatting sqref="E22">
    <cfRule type="cellIs" dxfId="482" priority="915" operator="lessThan">
      <formula>0</formula>
    </cfRule>
  </conditionalFormatting>
  <conditionalFormatting sqref="E22">
    <cfRule type="cellIs" dxfId="481" priority="914" operator="lessThan">
      <formula>0</formula>
    </cfRule>
  </conditionalFormatting>
  <conditionalFormatting sqref="E22">
    <cfRule type="cellIs" dxfId="480" priority="913" operator="lessThan">
      <formula>0</formula>
    </cfRule>
  </conditionalFormatting>
  <conditionalFormatting sqref="E22">
    <cfRule type="cellIs" dxfId="479" priority="912" operator="lessThan">
      <formula>0</formula>
    </cfRule>
  </conditionalFormatting>
  <conditionalFormatting sqref="E22">
    <cfRule type="cellIs" dxfId="478" priority="911" operator="lessThan">
      <formula>0</formula>
    </cfRule>
  </conditionalFormatting>
  <conditionalFormatting sqref="B22">
    <cfRule type="cellIs" dxfId="477" priority="910" operator="lessThan">
      <formula>0</formula>
    </cfRule>
  </conditionalFormatting>
  <conditionalFormatting sqref="B22">
    <cfRule type="cellIs" dxfId="476" priority="909" operator="lessThan">
      <formula>0</formula>
    </cfRule>
  </conditionalFormatting>
  <conditionalFormatting sqref="B22">
    <cfRule type="cellIs" dxfId="475" priority="908" operator="lessThan">
      <formula>0</formula>
    </cfRule>
  </conditionalFormatting>
  <conditionalFormatting sqref="B22">
    <cfRule type="cellIs" dxfId="474" priority="907" operator="lessThan">
      <formula>0</formula>
    </cfRule>
  </conditionalFormatting>
  <conditionalFormatting sqref="B22">
    <cfRule type="cellIs" dxfId="473" priority="906" operator="lessThan">
      <formula>0</formula>
    </cfRule>
  </conditionalFormatting>
  <conditionalFormatting sqref="B22">
    <cfRule type="cellIs" dxfId="472" priority="905" operator="lessThan">
      <formula>0</formula>
    </cfRule>
  </conditionalFormatting>
  <conditionalFormatting sqref="B23">
    <cfRule type="cellIs" dxfId="471" priority="851" operator="lessThan">
      <formula>0</formula>
    </cfRule>
  </conditionalFormatting>
  <conditionalFormatting sqref="E23">
    <cfRule type="cellIs" dxfId="470" priority="853" operator="lessThan">
      <formula>0</formula>
    </cfRule>
  </conditionalFormatting>
  <conditionalFormatting sqref="E23">
    <cfRule type="cellIs" dxfId="469" priority="852" operator="lessThan">
      <formula>0</formula>
    </cfRule>
  </conditionalFormatting>
  <conditionalFormatting sqref="B23">
    <cfRule type="cellIs" dxfId="468" priority="850" operator="lessThan">
      <formula>0</formula>
    </cfRule>
  </conditionalFormatting>
  <conditionalFormatting sqref="B23">
    <cfRule type="cellIs" dxfId="467" priority="849" operator="lessThan">
      <formula>0</formula>
    </cfRule>
  </conditionalFormatting>
  <conditionalFormatting sqref="B23">
    <cfRule type="cellIs" dxfId="466" priority="848" operator="lessThan">
      <formula>0</formula>
    </cfRule>
  </conditionalFormatting>
  <conditionalFormatting sqref="E23">
    <cfRule type="cellIs" dxfId="465" priority="856" operator="lessThan">
      <formula>0</formula>
    </cfRule>
  </conditionalFormatting>
  <conditionalFormatting sqref="E23">
    <cfRule type="cellIs" dxfId="464" priority="857" operator="lessThan">
      <formula>0</formula>
    </cfRule>
  </conditionalFormatting>
  <conditionalFormatting sqref="E23">
    <cfRule type="cellIs" dxfId="463" priority="855" operator="lessThan">
      <formula>0</formula>
    </cfRule>
  </conditionalFormatting>
  <conditionalFormatting sqref="E23">
    <cfRule type="cellIs" dxfId="462" priority="854" operator="lessThan">
      <formula>0</formula>
    </cfRule>
  </conditionalFormatting>
  <conditionalFormatting sqref="B23">
    <cfRule type="cellIs" dxfId="461" priority="847" operator="lessThan">
      <formula>0</formula>
    </cfRule>
  </conditionalFormatting>
  <conditionalFormatting sqref="B23">
    <cfRule type="cellIs" dxfId="460" priority="846" operator="lessThan">
      <formula>0</formula>
    </cfRule>
  </conditionalFormatting>
  <conditionalFormatting sqref="J6 I11:J11">
    <cfRule type="cellIs" dxfId="459" priority="532" operator="lessThan">
      <formula>0</formula>
    </cfRule>
  </conditionalFormatting>
  <conditionalFormatting sqref="I12:J12">
    <cfRule type="cellIs" dxfId="458" priority="524" operator="lessThan">
      <formula>0</formula>
    </cfRule>
  </conditionalFormatting>
  <conditionalFormatting sqref="I12:J12">
    <cfRule type="cellIs" dxfId="457" priority="526" operator="lessThan">
      <formula>0</formula>
    </cfRule>
  </conditionalFormatting>
  <conditionalFormatting sqref="I12:J12">
    <cfRule type="cellIs" dxfId="456" priority="525" operator="lessThan">
      <formula>0</formula>
    </cfRule>
  </conditionalFormatting>
  <conditionalFormatting sqref="I3">
    <cfRule type="cellIs" dxfId="455" priority="486" operator="lessThan">
      <formula>0</formula>
    </cfRule>
  </conditionalFormatting>
  <conditionalFormatting sqref="I2">
    <cfRule type="cellIs" dxfId="454" priority="475" operator="lessThan">
      <formula>0</formula>
    </cfRule>
  </conditionalFormatting>
  <conditionalFormatting sqref="H3">
    <cfRule type="cellIs" dxfId="453" priority="471" operator="lessThan">
      <formula>0</formula>
    </cfRule>
  </conditionalFormatting>
  <conditionalFormatting sqref="H2">
    <cfRule type="cellIs" dxfId="452" priority="461" operator="lessThan">
      <formula>0</formula>
    </cfRule>
  </conditionalFormatting>
  <conditionalFormatting sqref="B30:C30 E30">
    <cfRule type="cellIs" dxfId="451" priority="460" operator="lessThan">
      <formula>0</formula>
    </cfRule>
  </conditionalFormatting>
  <conditionalFormatting sqref="B32">
    <cfRule type="cellIs" dxfId="450" priority="458" operator="lessThan">
      <formula>0</formula>
    </cfRule>
  </conditionalFormatting>
  <conditionalFormatting sqref="B33">
    <cfRule type="cellIs" dxfId="449" priority="456" operator="lessThan">
      <formula>0</formula>
    </cfRule>
  </conditionalFormatting>
  <conditionalFormatting sqref="J2">
    <cfRule type="cellIs" dxfId="448" priority="452" operator="lessThan">
      <formula>0</formula>
    </cfRule>
  </conditionalFormatting>
  <conditionalFormatting sqref="G3">
    <cfRule type="cellIs" dxfId="447" priority="433" operator="lessThan">
      <formula>0</formula>
    </cfRule>
  </conditionalFormatting>
  <conditionalFormatting sqref="G2">
    <cfRule type="cellIs" dxfId="446" priority="423" operator="lessThan">
      <formula>0</formula>
    </cfRule>
  </conditionalFormatting>
  <conditionalFormatting sqref="I12:I13 I15">
    <cfRule type="cellIs" dxfId="445" priority="393" operator="lessThan">
      <formula>0</formula>
    </cfRule>
  </conditionalFormatting>
  <conditionalFormatting sqref="I12:I13 I15">
    <cfRule type="cellIs" dxfId="444" priority="392" operator="lessThan">
      <formula>0</formula>
    </cfRule>
  </conditionalFormatting>
  <conditionalFormatting sqref="I12:I13 I15">
    <cfRule type="cellIs" dxfId="443" priority="391" operator="lessThan">
      <formula>0</formula>
    </cfRule>
  </conditionalFormatting>
  <conditionalFormatting sqref="I20:I22 I24">
    <cfRule type="cellIs" dxfId="442" priority="390" operator="lessThan">
      <formula>0</formula>
    </cfRule>
  </conditionalFormatting>
  <conditionalFormatting sqref="I20:I22 I24">
    <cfRule type="cellIs" dxfId="441" priority="389" operator="lessThan">
      <formula>0</formula>
    </cfRule>
  </conditionalFormatting>
  <conditionalFormatting sqref="I20:I22 I24">
    <cfRule type="cellIs" dxfId="440" priority="388" operator="lessThan">
      <formula>0</formula>
    </cfRule>
  </conditionalFormatting>
  <conditionalFormatting sqref="I26">
    <cfRule type="cellIs" dxfId="439" priority="387" operator="lessThan">
      <formula>0</formula>
    </cfRule>
  </conditionalFormatting>
  <conditionalFormatting sqref="I26">
    <cfRule type="cellIs" dxfId="438" priority="386" operator="lessThan">
      <formula>0</formula>
    </cfRule>
  </conditionalFormatting>
  <conditionalFormatting sqref="I26">
    <cfRule type="cellIs" dxfId="437" priority="385" operator="lessThan">
      <formula>0</formula>
    </cfRule>
  </conditionalFormatting>
  <conditionalFormatting sqref="I28:I30 I32:I33">
    <cfRule type="cellIs" dxfId="436" priority="384" operator="lessThan">
      <formula>0</formula>
    </cfRule>
  </conditionalFormatting>
  <conditionalFormatting sqref="I28:I30 I32:I33">
    <cfRule type="cellIs" dxfId="435" priority="383" operator="lessThan">
      <formula>0</formula>
    </cfRule>
  </conditionalFormatting>
  <conditionalFormatting sqref="I28:I30 I32:I33">
    <cfRule type="cellIs" dxfId="434" priority="382" operator="lessThan">
      <formula>0</formula>
    </cfRule>
  </conditionalFormatting>
  <conditionalFormatting sqref="H11">
    <cfRule type="cellIs" dxfId="433" priority="354" operator="lessThan">
      <formula>0</formula>
    </cfRule>
  </conditionalFormatting>
  <conditionalFormatting sqref="H12">
    <cfRule type="cellIs" dxfId="432" priority="353" operator="lessThan">
      <formula>0</formula>
    </cfRule>
  </conditionalFormatting>
  <conditionalFormatting sqref="J13">
    <cfRule type="cellIs" dxfId="431" priority="378" operator="lessThan">
      <formula>0</formula>
    </cfRule>
  </conditionalFormatting>
  <conditionalFormatting sqref="J13">
    <cfRule type="cellIs" dxfId="430" priority="377" operator="lessThan">
      <formula>0</formula>
    </cfRule>
  </conditionalFormatting>
  <conditionalFormatting sqref="J13">
    <cfRule type="cellIs" dxfId="429" priority="376" operator="lessThan">
      <formula>0</formula>
    </cfRule>
  </conditionalFormatting>
  <conditionalFormatting sqref="J15">
    <cfRule type="cellIs" dxfId="428" priority="375" operator="lessThan">
      <formula>0</formula>
    </cfRule>
  </conditionalFormatting>
  <conditionalFormatting sqref="J15">
    <cfRule type="cellIs" dxfId="427" priority="374" operator="lessThan">
      <formula>0</formula>
    </cfRule>
  </conditionalFormatting>
  <conditionalFormatting sqref="J15">
    <cfRule type="cellIs" dxfId="426" priority="373" operator="lessThan">
      <formula>0</formula>
    </cfRule>
  </conditionalFormatting>
  <conditionalFormatting sqref="J20:J24">
    <cfRule type="cellIs" dxfId="425" priority="363" operator="lessThan">
      <formula>0</formula>
    </cfRule>
  </conditionalFormatting>
  <conditionalFormatting sqref="J20:J24">
    <cfRule type="cellIs" dxfId="424" priority="362" operator="lessThan">
      <formula>0</formula>
    </cfRule>
  </conditionalFormatting>
  <conditionalFormatting sqref="J20:J24">
    <cfRule type="cellIs" dxfId="423" priority="361" operator="lessThan">
      <formula>0</formula>
    </cfRule>
  </conditionalFormatting>
  <conditionalFormatting sqref="J26">
    <cfRule type="cellIs" dxfId="422" priority="360" operator="lessThan">
      <formula>0</formula>
    </cfRule>
  </conditionalFormatting>
  <conditionalFormatting sqref="J26">
    <cfRule type="cellIs" dxfId="421" priority="359" operator="lessThan">
      <formula>0</formula>
    </cfRule>
  </conditionalFormatting>
  <conditionalFormatting sqref="J26">
    <cfRule type="cellIs" dxfId="420" priority="358" operator="lessThan">
      <formula>0</formula>
    </cfRule>
  </conditionalFormatting>
  <conditionalFormatting sqref="J28:J30 J32:J33">
    <cfRule type="cellIs" dxfId="419" priority="357" operator="lessThan">
      <formula>0</formula>
    </cfRule>
  </conditionalFormatting>
  <conditionalFormatting sqref="J28:J30 J32:J33">
    <cfRule type="cellIs" dxfId="418" priority="356" operator="lessThan">
      <formula>0</formula>
    </cfRule>
  </conditionalFormatting>
  <conditionalFormatting sqref="J28:J30 J32:J33">
    <cfRule type="cellIs" dxfId="417" priority="355" operator="lessThan">
      <formula>0</formula>
    </cfRule>
  </conditionalFormatting>
  <conditionalFormatting sqref="H28:H30 H32:H33">
    <cfRule type="cellIs" dxfId="416" priority="337" operator="lessThan">
      <formula>0</formula>
    </cfRule>
  </conditionalFormatting>
  <conditionalFormatting sqref="H28:H30 H32:H33">
    <cfRule type="cellIs" dxfId="415" priority="336" operator="lessThan">
      <formula>0</formula>
    </cfRule>
  </conditionalFormatting>
  <conditionalFormatting sqref="H12">
    <cfRule type="cellIs" dxfId="414" priority="350" operator="lessThan">
      <formula>0</formula>
    </cfRule>
  </conditionalFormatting>
  <conditionalFormatting sqref="H12">
    <cfRule type="cellIs" dxfId="413" priority="349" operator="lessThan">
      <formula>0</formula>
    </cfRule>
  </conditionalFormatting>
  <conditionalFormatting sqref="H12:H13 H15">
    <cfRule type="cellIs" dxfId="412" priority="347" operator="lessThan">
      <formula>0</formula>
    </cfRule>
  </conditionalFormatting>
  <conditionalFormatting sqref="H12:H13 H15">
    <cfRule type="cellIs" dxfId="411" priority="346" operator="lessThan">
      <formula>0</formula>
    </cfRule>
  </conditionalFormatting>
  <conditionalFormatting sqref="H12:H13 H15">
    <cfRule type="cellIs" dxfId="410" priority="345" operator="lessThan">
      <formula>0</formula>
    </cfRule>
  </conditionalFormatting>
  <conditionalFormatting sqref="H20:H24">
    <cfRule type="cellIs" dxfId="409" priority="344" operator="lessThan">
      <formula>0</formula>
    </cfRule>
  </conditionalFormatting>
  <conditionalFormatting sqref="H20:H24">
    <cfRule type="cellIs" dxfId="408" priority="343" operator="lessThan">
      <formula>0</formula>
    </cfRule>
  </conditionalFormatting>
  <conditionalFormatting sqref="H20:H24">
    <cfRule type="cellIs" dxfId="407" priority="342" operator="lessThan">
      <formula>0</formula>
    </cfRule>
  </conditionalFormatting>
  <conditionalFormatting sqref="H26">
    <cfRule type="cellIs" dxfId="406" priority="341" operator="lessThan">
      <formula>0</formula>
    </cfRule>
  </conditionalFormatting>
  <conditionalFormatting sqref="H26">
    <cfRule type="cellIs" dxfId="405" priority="340" operator="lessThan">
      <formula>0</formula>
    </cfRule>
  </conditionalFormatting>
  <conditionalFormatting sqref="H26">
    <cfRule type="cellIs" dxfId="404" priority="339" operator="lessThan">
      <formula>0</formula>
    </cfRule>
  </conditionalFormatting>
  <conditionalFormatting sqref="H28:H30 H32:H33">
    <cfRule type="cellIs" dxfId="403" priority="338" operator="lessThan">
      <formula>0</formula>
    </cfRule>
  </conditionalFormatting>
  <conditionalFormatting sqref="G12">
    <cfRule type="cellIs" dxfId="402" priority="292" operator="lessThan">
      <formula>0</formula>
    </cfRule>
  </conditionalFormatting>
  <conditionalFormatting sqref="G12">
    <cfRule type="cellIs" dxfId="401" priority="291" operator="lessThan">
      <formula>0</formula>
    </cfRule>
  </conditionalFormatting>
  <conditionalFormatting sqref="G12:G13 G15">
    <cfRule type="cellIs" dxfId="400" priority="290" operator="lessThan">
      <formula>0</formula>
    </cfRule>
  </conditionalFormatting>
  <conditionalFormatting sqref="G12:G13 G15">
    <cfRule type="cellIs" dxfId="399" priority="289" operator="lessThan">
      <formula>0</formula>
    </cfRule>
  </conditionalFormatting>
  <conditionalFormatting sqref="G12:G13 G15">
    <cfRule type="cellIs" dxfId="398" priority="288" operator="lessThan">
      <formula>0</formula>
    </cfRule>
  </conditionalFormatting>
  <conditionalFormatting sqref="G20:G24">
    <cfRule type="cellIs" dxfId="397" priority="287" operator="lessThan">
      <formula>0</formula>
    </cfRule>
  </conditionalFormatting>
  <conditionalFormatting sqref="G20:G24">
    <cfRule type="cellIs" dxfId="396" priority="286" operator="lessThan">
      <formula>0</formula>
    </cfRule>
  </conditionalFormatting>
  <conditionalFormatting sqref="G20:G24">
    <cfRule type="cellIs" dxfId="395" priority="285" operator="lessThan">
      <formula>0</formula>
    </cfRule>
  </conditionalFormatting>
  <conditionalFormatting sqref="G26">
    <cfRule type="cellIs" dxfId="394" priority="284" operator="lessThan">
      <formula>0</formula>
    </cfRule>
  </conditionalFormatting>
  <conditionalFormatting sqref="G26">
    <cfRule type="cellIs" dxfId="393" priority="283" operator="lessThan">
      <formula>0</formula>
    </cfRule>
  </conditionalFormatting>
  <conditionalFormatting sqref="G26">
    <cfRule type="cellIs" dxfId="392" priority="282" operator="lessThan">
      <formula>0</formula>
    </cfRule>
  </conditionalFormatting>
  <conditionalFormatting sqref="G28:G30 G32:G33">
    <cfRule type="cellIs" dxfId="391" priority="281" operator="lessThan">
      <formula>0</formula>
    </cfRule>
  </conditionalFormatting>
  <conditionalFormatting sqref="G28:G30 G32:G33">
    <cfRule type="cellIs" dxfId="390" priority="280" operator="lessThan">
      <formula>0</formula>
    </cfRule>
  </conditionalFormatting>
  <conditionalFormatting sqref="G28:G30 G32:G33">
    <cfRule type="cellIs" dxfId="389" priority="279" operator="lessThan">
      <formula>0</formula>
    </cfRule>
  </conditionalFormatting>
  <conditionalFormatting sqref="I23">
    <cfRule type="cellIs" dxfId="388" priority="278" operator="lessThan">
      <formula>0</formula>
    </cfRule>
  </conditionalFormatting>
  <conditionalFormatting sqref="I23">
    <cfRule type="cellIs" dxfId="387" priority="277" operator="lessThan">
      <formula>0</formula>
    </cfRule>
  </conditionalFormatting>
  <conditionalFormatting sqref="I23">
    <cfRule type="cellIs" dxfId="386" priority="276" operator="lessThan">
      <formula>0</formula>
    </cfRule>
  </conditionalFormatting>
  <conditionalFormatting sqref="G11">
    <cfRule type="cellIs" dxfId="385" priority="297" operator="lessThan">
      <formula>0</formula>
    </cfRule>
  </conditionalFormatting>
  <conditionalFormatting sqref="G12">
    <cfRule type="cellIs" dxfId="384" priority="296" operator="lessThan">
      <formula>0</formula>
    </cfRule>
  </conditionalFormatting>
  <conditionalFormatting sqref="K3">
    <cfRule type="cellIs" dxfId="383" priority="275" operator="lessThan">
      <formula>0</formula>
    </cfRule>
  </conditionalFormatting>
  <conditionalFormatting sqref="K6 K11">
    <cfRule type="cellIs" dxfId="382" priority="268" operator="lessThan">
      <formula>0</formula>
    </cfRule>
  </conditionalFormatting>
  <conditionalFormatting sqref="K12">
    <cfRule type="cellIs" dxfId="381" priority="265" operator="lessThan">
      <formula>0</formula>
    </cfRule>
  </conditionalFormatting>
  <conditionalFormatting sqref="K12">
    <cfRule type="cellIs" dxfId="380" priority="267" operator="lessThan">
      <formula>0</formula>
    </cfRule>
  </conditionalFormatting>
  <conditionalFormatting sqref="K12">
    <cfRule type="cellIs" dxfId="379" priority="266" operator="lessThan">
      <formula>0</formula>
    </cfRule>
  </conditionalFormatting>
  <conditionalFormatting sqref="K13">
    <cfRule type="cellIs" dxfId="378" priority="256" operator="lessThan">
      <formula>0</formula>
    </cfRule>
  </conditionalFormatting>
  <conditionalFormatting sqref="K2">
    <cfRule type="cellIs" dxfId="377" priority="260" operator="lessThan">
      <formula>0</formula>
    </cfRule>
  </conditionalFormatting>
  <conditionalFormatting sqref="K20:K24">
    <cfRule type="cellIs" dxfId="376" priority="250" operator="lessThan">
      <formula>0</formula>
    </cfRule>
  </conditionalFormatting>
  <conditionalFormatting sqref="K20:K24">
    <cfRule type="cellIs" dxfId="375" priority="249" operator="lessThan">
      <formula>0</formula>
    </cfRule>
  </conditionalFormatting>
  <conditionalFormatting sqref="K20:K24">
    <cfRule type="cellIs" dxfId="374" priority="248" operator="lessThan">
      <formula>0</formula>
    </cfRule>
  </conditionalFormatting>
  <conditionalFormatting sqref="K13">
    <cfRule type="cellIs" dxfId="373" priority="255" operator="lessThan">
      <formula>0</formula>
    </cfRule>
  </conditionalFormatting>
  <conditionalFormatting sqref="K13">
    <cfRule type="cellIs" dxfId="372" priority="254" operator="lessThan">
      <formula>0</formula>
    </cfRule>
  </conditionalFormatting>
  <conditionalFormatting sqref="K15">
    <cfRule type="cellIs" dxfId="371" priority="253" operator="lessThan">
      <formula>0</formula>
    </cfRule>
  </conditionalFormatting>
  <conditionalFormatting sqref="K15">
    <cfRule type="cellIs" dxfId="370" priority="252" operator="lessThan">
      <formula>0</formula>
    </cfRule>
  </conditionalFormatting>
  <conditionalFormatting sqref="K15">
    <cfRule type="cellIs" dxfId="369" priority="251" operator="lessThan">
      <formula>0</formula>
    </cfRule>
  </conditionalFormatting>
  <conditionalFormatting sqref="K26">
    <cfRule type="cellIs" dxfId="368" priority="247" operator="lessThan">
      <formula>0</formula>
    </cfRule>
  </conditionalFormatting>
  <conditionalFormatting sqref="K26">
    <cfRule type="cellIs" dxfId="367" priority="246" operator="lessThan">
      <formula>0</formula>
    </cfRule>
  </conditionalFormatting>
  <conditionalFormatting sqref="K26">
    <cfRule type="cellIs" dxfId="366" priority="245" operator="lessThan">
      <formula>0</formula>
    </cfRule>
  </conditionalFormatting>
  <conditionalFormatting sqref="K28:K30 K32:K33">
    <cfRule type="cellIs" dxfId="365" priority="244" operator="lessThan">
      <formula>0</formula>
    </cfRule>
  </conditionalFormatting>
  <conditionalFormatting sqref="K28:K30 K32:K33">
    <cfRule type="cellIs" dxfId="364" priority="243" operator="lessThan">
      <formula>0</formula>
    </cfRule>
  </conditionalFormatting>
  <conditionalFormatting sqref="K28:K30 K32:K33">
    <cfRule type="cellIs" dxfId="363" priority="242" operator="lessThan">
      <formula>0</formula>
    </cfRule>
  </conditionalFormatting>
  <conditionalFormatting sqref="C14:C15 C17:C18 C20:C29">
    <cfRule type="cellIs" dxfId="362" priority="228" operator="lessThan">
      <formula>0</formula>
    </cfRule>
  </conditionalFormatting>
  <conditionalFormatting sqref="C14:C15 C17:C18 C20:C29">
    <cfRule type="cellIs" dxfId="361" priority="227" operator="lessThan">
      <formula>0</formula>
    </cfRule>
  </conditionalFormatting>
  <conditionalFormatting sqref="B3">
    <cfRule type="cellIs" dxfId="360" priority="232" operator="lessThan">
      <formula>0</formula>
    </cfRule>
  </conditionalFormatting>
  <conditionalFormatting sqref="E3">
    <cfRule type="cellIs" dxfId="359" priority="231" operator="lessThan">
      <formula>0</formula>
    </cfRule>
  </conditionalFormatting>
  <conditionalFormatting sqref="C14:C15 C17:C18 C20:C29">
    <cfRule type="cellIs" dxfId="358" priority="226" operator="lessThan">
      <formula>0</formula>
    </cfRule>
  </conditionalFormatting>
  <conditionalFormatting sqref="K10">
    <cfRule type="cellIs" dxfId="357" priority="193" operator="lessThan">
      <formula>0</formula>
    </cfRule>
  </conditionalFormatting>
  <conditionalFormatting sqref="E14">
    <cfRule type="cellIs" dxfId="356" priority="225" operator="lessThan">
      <formula>0</formula>
    </cfRule>
  </conditionalFormatting>
  <conditionalFormatting sqref="E14">
    <cfRule type="cellIs" dxfId="355" priority="224" operator="lessThan">
      <formula>0</formula>
    </cfRule>
  </conditionalFormatting>
  <conditionalFormatting sqref="E14">
    <cfRule type="cellIs" dxfId="354" priority="223" operator="lessThan">
      <formula>0</formula>
    </cfRule>
  </conditionalFormatting>
  <conditionalFormatting sqref="J14">
    <cfRule type="cellIs" dxfId="353" priority="222" operator="lessThan">
      <formula>0</formula>
    </cfRule>
  </conditionalFormatting>
  <conditionalFormatting sqref="J14">
    <cfRule type="cellIs" dxfId="352" priority="221" operator="lessThan">
      <formula>0</formula>
    </cfRule>
  </conditionalFormatting>
  <conditionalFormatting sqref="J14">
    <cfRule type="cellIs" dxfId="351" priority="220" operator="lessThan">
      <formula>0</formula>
    </cfRule>
  </conditionalFormatting>
  <conditionalFormatting sqref="J10">
    <cfRule type="cellIs" dxfId="350" priority="219" operator="lessThan">
      <formula>0</formula>
    </cfRule>
  </conditionalFormatting>
  <conditionalFormatting sqref="J10">
    <cfRule type="cellIs" dxfId="349" priority="218" operator="lessThan">
      <formula>0</formula>
    </cfRule>
  </conditionalFormatting>
  <conditionalFormatting sqref="J10">
    <cfRule type="cellIs" dxfId="348" priority="217" operator="lessThan">
      <formula>0</formula>
    </cfRule>
  </conditionalFormatting>
  <conditionalFormatting sqref="G10">
    <cfRule type="cellIs" dxfId="347" priority="216" operator="lessThan">
      <formula>0</formula>
    </cfRule>
  </conditionalFormatting>
  <conditionalFormatting sqref="G10">
    <cfRule type="cellIs" dxfId="346" priority="215" operator="lessThan">
      <formula>0</formula>
    </cfRule>
  </conditionalFormatting>
  <conditionalFormatting sqref="G10">
    <cfRule type="cellIs" dxfId="345" priority="214" operator="lessThan">
      <formula>0</formula>
    </cfRule>
  </conditionalFormatting>
  <conditionalFormatting sqref="G14">
    <cfRule type="cellIs" dxfId="344" priority="213" operator="lessThan">
      <formula>0</formula>
    </cfRule>
  </conditionalFormatting>
  <conditionalFormatting sqref="G14">
    <cfRule type="cellIs" dxfId="343" priority="212" operator="lessThan">
      <formula>0</formula>
    </cfRule>
  </conditionalFormatting>
  <conditionalFormatting sqref="G14">
    <cfRule type="cellIs" dxfId="342" priority="211" operator="lessThan">
      <formula>0</formula>
    </cfRule>
  </conditionalFormatting>
  <conditionalFormatting sqref="H14">
    <cfRule type="cellIs" dxfId="341" priority="210" operator="lessThan">
      <formula>0</formula>
    </cfRule>
  </conditionalFormatting>
  <conditionalFormatting sqref="H14">
    <cfRule type="cellIs" dxfId="340" priority="209" operator="lessThan">
      <formula>0</formula>
    </cfRule>
  </conditionalFormatting>
  <conditionalFormatting sqref="H14">
    <cfRule type="cellIs" dxfId="339" priority="208" operator="lessThan">
      <formula>0</formula>
    </cfRule>
  </conditionalFormatting>
  <conditionalFormatting sqref="H10">
    <cfRule type="cellIs" dxfId="338" priority="207" operator="lessThan">
      <formula>0</formula>
    </cfRule>
  </conditionalFormatting>
  <conditionalFormatting sqref="H10">
    <cfRule type="cellIs" dxfId="337" priority="206" operator="lessThan">
      <formula>0</formula>
    </cfRule>
  </conditionalFormatting>
  <conditionalFormatting sqref="H10">
    <cfRule type="cellIs" dxfId="336" priority="205" operator="lessThan">
      <formula>0</formula>
    </cfRule>
  </conditionalFormatting>
  <conditionalFormatting sqref="I14">
    <cfRule type="cellIs" dxfId="335" priority="204" operator="lessThan">
      <formula>0</formula>
    </cfRule>
  </conditionalFormatting>
  <conditionalFormatting sqref="I14">
    <cfRule type="cellIs" dxfId="334" priority="203" operator="lessThan">
      <formula>0</formula>
    </cfRule>
  </conditionalFormatting>
  <conditionalFormatting sqref="I14">
    <cfRule type="cellIs" dxfId="333" priority="202" operator="lessThan">
      <formula>0</formula>
    </cfRule>
  </conditionalFormatting>
  <conditionalFormatting sqref="I10">
    <cfRule type="cellIs" dxfId="332" priority="201" operator="lessThan">
      <formula>0</formula>
    </cfRule>
  </conditionalFormatting>
  <conditionalFormatting sqref="I10">
    <cfRule type="cellIs" dxfId="331" priority="200" operator="lessThan">
      <formula>0</formula>
    </cfRule>
  </conditionalFormatting>
  <conditionalFormatting sqref="I10">
    <cfRule type="cellIs" dxfId="330" priority="199" operator="lessThan">
      <formula>0</formula>
    </cfRule>
  </conditionalFormatting>
  <conditionalFormatting sqref="K14">
    <cfRule type="cellIs" dxfId="329" priority="198" operator="lessThan">
      <formula>0</formula>
    </cfRule>
  </conditionalFormatting>
  <conditionalFormatting sqref="K14">
    <cfRule type="cellIs" dxfId="328" priority="197" operator="lessThan">
      <formula>0</formula>
    </cfRule>
  </conditionalFormatting>
  <conditionalFormatting sqref="K14">
    <cfRule type="cellIs" dxfId="327" priority="196" operator="lessThan">
      <formula>0</formula>
    </cfRule>
  </conditionalFormatting>
  <conditionalFormatting sqref="K10">
    <cfRule type="cellIs" dxfId="326" priority="195" operator="lessThan">
      <formula>0</formula>
    </cfRule>
  </conditionalFormatting>
  <conditionalFormatting sqref="K10">
    <cfRule type="cellIs" dxfId="325" priority="194" operator="lessThan">
      <formula>0</formula>
    </cfRule>
  </conditionalFormatting>
  <conditionalFormatting sqref="F28:F29 F31:F32">
    <cfRule type="cellIs" dxfId="324" priority="192" operator="lessThan">
      <formula>0</formula>
    </cfRule>
  </conditionalFormatting>
  <conditionalFormatting sqref="F27">
    <cfRule type="cellIs" dxfId="323" priority="190" operator="lessThan">
      <formula>0</formula>
    </cfRule>
  </conditionalFormatting>
  <conditionalFormatting sqref="F9:F10">
    <cfRule type="cellIs" dxfId="322" priority="187" operator="lessThan">
      <formula>0</formula>
    </cfRule>
  </conditionalFormatting>
  <conditionalFormatting sqref="F8">
    <cfRule type="cellIs" dxfId="321" priority="188" operator="lessThan">
      <formula>0</formula>
    </cfRule>
  </conditionalFormatting>
  <conditionalFormatting sqref="F18">
    <cfRule type="cellIs" dxfId="320" priority="179" operator="lessThan">
      <formula>0</formula>
    </cfRule>
  </conditionalFormatting>
  <conditionalFormatting sqref="F5:F7 F11">
    <cfRule type="cellIs" dxfId="319" priority="189" operator="lessThan">
      <formula>0</formula>
    </cfRule>
  </conditionalFormatting>
  <conditionalFormatting sqref="F18">
    <cfRule type="cellIs" dxfId="318" priority="180" operator="lessThan">
      <formula>0</formula>
    </cfRule>
  </conditionalFormatting>
  <conditionalFormatting sqref="F17">
    <cfRule type="cellIs" dxfId="317" priority="191" operator="lessThan">
      <formula>0</formula>
    </cfRule>
  </conditionalFormatting>
  <conditionalFormatting sqref="F9:F10">
    <cfRule type="cellIs" dxfId="316" priority="186" operator="lessThan">
      <formula>0</formula>
    </cfRule>
  </conditionalFormatting>
  <conditionalFormatting sqref="F9">
    <cfRule type="cellIs" dxfId="315" priority="185" operator="lessThan">
      <formula>0</formula>
    </cfRule>
  </conditionalFormatting>
  <conditionalFormatting sqref="F10">
    <cfRule type="cellIs" dxfId="314" priority="184" operator="lessThan">
      <formula>0</formula>
    </cfRule>
  </conditionalFormatting>
  <conditionalFormatting sqref="F15 F21 F24 F12:F13">
    <cfRule type="cellIs" dxfId="313" priority="183" operator="lessThan">
      <formula>0</formula>
    </cfRule>
  </conditionalFormatting>
  <conditionalFormatting sqref="F15 F21 F24 F12:F13">
    <cfRule type="cellIs" dxfId="312" priority="182" operator="lessThan">
      <formula>0</formula>
    </cfRule>
  </conditionalFormatting>
  <conditionalFormatting sqref="F15 F21 F24 F12:F13">
    <cfRule type="cellIs" dxfId="311" priority="181" operator="lessThan">
      <formula>0</formula>
    </cfRule>
  </conditionalFormatting>
  <conditionalFormatting sqref="F18">
    <cfRule type="cellIs" dxfId="310" priority="178" operator="lessThan">
      <formula>0</formula>
    </cfRule>
  </conditionalFormatting>
  <conditionalFormatting sqref="F18">
    <cfRule type="cellIs" dxfId="309" priority="177" operator="lessThan">
      <formula>0</formula>
    </cfRule>
  </conditionalFormatting>
  <conditionalFormatting sqref="F21">
    <cfRule type="cellIs" dxfId="308" priority="176" operator="lessThan">
      <formula>0</formula>
    </cfRule>
  </conditionalFormatting>
  <conditionalFormatting sqref="F21">
    <cfRule type="cellIs" dxfId="307" priority="175" operator="lessThan">
      <formula>0</formula>
    </cfRule>
  </conditionalFormatting>
  <conditionalFormatting sqref="F21">
    <cfRule type="cellIs" dxfId="306" priority="174" operator="lessThan">
      <formula>0</formula>
    </cfRule>
  </conditionalFormatting>
  <conditionalFormatting sqref="F25">
    <cfRule type="cellIs" dxfId="305" priority="173" operator="lessThan">
      <formula>0</formula>
    </cfRule>
  </conditionalFormatting>
  <conditionalFormatting sqref="F20">
    <cfRule type="cellIs" dxfId="304" priority="166" operator="lessThan">
      <formula>0</formula>
    </cfRule>
  </conditionalFormatting>
  <conditionalFormatting sqref="F20">
    <cfRule type="cellIs" dxfId="303" priority="165" operator="lessThan">
      <formula>0</formula>
    </cfRule>
  </conditionalFormatting>
  <conditionalFormatting sqref="F20">
    <cfRule type="cellIs" dxfId="302" priority="164" operator="lessThan">
      <formula>0</formula>
    </cfRule>
  </conditionalFormatting>
  <conditionalFormatting sqref="F20">
    <cfRule type="cellIs" dxfId="301" priority="163" operator="lessThan">
      <formula>0</formula>
    </cfRule>
  </conditionalFormatting>
  <conditionalFormatting sqref="F20">
    <cfRule type="cellIs" dxfId="300" priority="162" operator="lessThan">
      <formula>0</formula>
    </cfRule>
  </conditionalFormatting>
  <conditionalFormatting sqref="F20">
    <cfRule type="cellIs" dxfId="299" priority="161" operator="lessThan">
      <formula>0</formula>
    </cfRule>
  </conditionalFormatting>
  <conditionalFormatting sqref="F26">
    <cfRule type="cellIs" dxfId="298" priority="160" operator="lessThan">
      <formula>0</formula>
    </cfRule>
  </conditionalFormatting>
  <conditionalFormatting sqref="F26">
    <cfRule type="cellIs" dxfId="297" priority="159" operator="lessThan">
      <formula>0</formula>
    </cfRule>
  </conditionalFormatting>
  <conditionalFormatting sqref="F26">
    <cfRule type="cellIs" dxfId="296" priority="158" operator="lessThan">
      <formula>0</formula>
    </cfRule>
  </conditionalFormatting>
  <conditionalFormatting sqref="F26">
    <cfRule type="cellIs" dxfId="295" priority="157" operator="lessThan">
      <formula>0</formula>
    </cfRule>
  </conditionalFormatting>
  <conditionalFormatting sqref="F26">
    <cfRule type="cellIs" dxfId="294" priority="156" operator="lessThan">
      <formula>0</formula>
    </cfRule>
  </conditionalFormatting>
  <conditionalFormatting sqref="F26">
    <cfRule type="cellIs" dxfId="293" priority="155" operator="lessThan">
      <formula>0</formula>
    </cfRule>
  </conditionalFormatting>
  <conditionalFormatting sqref="F22">
    <cfRule type="cellIs" dxfId="292" priority="154" operator="lessThan">
      <formula>0</formula>
    </cfRule>
  </conditionalFormatting>
  <conditionalFormatting sqref="F22">
    <cfRule type="cellIs" dxfId="291" priority="153" operator="lessThan">
      <formula>0</formula>
    </cfRule>
  </conditionalFormatting>
  <conditionalFormatting sqref="F22">
    <cfRule type="cellIs" dxfId="290" priority="152" operator="lessThan">
      <formula>0</formula>
    </cfRule>
  </conditionalFormatting>
  <conditionalFormatting sqref="F22">
    <cfRule type="cellIs" dxfId="289" priority="151" operator="lessThan">
      <formula>0</formula>
    </cfRule>
  </conditionalFormatting>
  <conditionalFormatting sqref="F22">
    <cfRule type="cellIs" dxfId="288" priority="150" operator="lessThan">
      <formula>0</formula>
    </cfRule>
  </conditionalFormatting>
  <conditionalFormatting sqref="F22">
    <cfRule type="cellIs" dxfId="287" priority="149" operator="lessThan">
      <formula>0</formula>
    </cfRule>
  </conditionalFormatting>
  <conditionalFormatting sqref="F23">
    <cfRule type="cellIs" dxfId="286" priority="144" operator="lessThan">
      <formula>0</formula>
    </cfRule>
  </conditionalFormatting>
  <conditionalFormatting sqref="F23">
    <cfRule type="cellIs" dxfId="285" priority="143" operator="lessThan">
      <formula>0</formula>
    </cfRule>
  </conditionalFormatting>
  <conditionalFormatting sqref="F23">
    <cfRule type="cellIs" dxfId="284" priority="147" operator="lessThan">
      <formula>0</formula>
    </cfRule>
  </conditionalFormatting>
  <conditionalFormatting sqref="F23">
    <cfRule type="cellIs" dxfId="283" priority="148" operator="lessThan">
      <formula>0</formula>
    </cfRule>
  </conditionalFormatting>
  <conditionalFormatting sqref="F23">
    <cfRule type="cellIs" dxfId="282" priority="146" operator="lessThan">
      <formula>0</formula>
    </cfRule>
  </conditionalFormatting>
  <conditionalFormatting sqref="F23">
    <cfRule type="cellIs" dxfId="281" priority="145" operator="lessThan">
      <formula>0</formula>
    </cfRule>
  </conditionalFormatting>
  <conditionalFormatting sqref="F30">
    <cfRule type="cellIs" dxfId="280" priority="142" operator="lessThan">
      <formula>0</formula>
    </cfRule>
  </conditionalFormatting>
  <conditionalFormatting sqref="F3">
    <cfRule type="cellIs" dxfId="279" priority="136" operator="lessThan">
      <formula>0</formula>
    </cfRule>
  </conditionalFormatting>
  <conditionalFormatting sqref="F2">
    <cfRule type="cellIs" dxfId="278" priority="135" operator="lessThan">
      <formula>0</formula>
    </cfRule>
  </conditionalFormatting>
  <conditionalFormatting sqref="F14">
    <cfRule type="cellIs" dxfId="277" priority="134" operator="lessThan">
      <formula>0</formula>
    </cfRule>
  </conditionalFormatting>
  <conditionalFormatting sqref="F14">
    <cfRule type="cellIs" dxfId="276" priority="133" operator="lessThan">
      <formula>0</formula>
    </cfRule>
  </conditionalFormatting>
  <conditionalFormatting sqref="F14">
    <cfRule type="cellIs" dxfId="275" priority="132" operator="lessThan">
      <formula>0</formula>
    </cfRule>
  </conditionalFormatting>
  <conditionalFormatting sqref="D28:E29 D31:E32">
    <cfRule type="cellIs" dxfId="274" priority="128" operator="lessThan">
      <formula>0</formula>
    </cfRule>
  </conditionalFormatting>
  <conditionalFormatting sqref="D27:E27">
    <cfRule type="cellIs" dxfId="273" priority="126" operator="lessThan">
      <formula>0</formula>
    </cfRule>
  </conditionalFormatting>
  <conditionalFormatting sqref="D9:E10">
    <cfRule type="cellIs" dxfId="272" priority="123" operator="lessThan">
      <formula>0</formula>
    </cfRule>
  </conditionalFormatting>
  <conditionalFormatting sqref="D8:E8">
    <cfRule type="cellIs" dxfId="271" priority="124" operator="lessThan">
      <formula>0</formula>
    </cfRule>
  </conditionalFormatting>
  <conditionalFormatting sqref="D5:E7">
    <cfRule type="cellIs" dxfId="270" priority="125" operator="lessThan">
      <formula>0</formula>
    </cfRule>
  </conditionalFormatting>
  <conditionalFormatting sqref="D17:E17">
    <cfRule type="cellIs" dxfId="269" priority="127" operator="lessThan">
      <formula>0</formula>
    </cfRule>
  </conditionalFormatting>
  <conditionalFormatting sqref="D9:E10">
    <cfRule type="cellIs" dxfId="268" priority="122" operator="lessThan">
      <formula>0</formula>
    </cfRule>
  </conditionalFormatting>
  <conditionalFormatting sqref="D9:E9">
    <cfRule type="cellIs" dxfId="267" priority="121" operator="lessThan">
      <formula>0</formula>
    </cfRule>
  </conditionalFormatting>
  <conditionalFormatting sqref="D10:E10">
    <cfRule type="cellIs" dxfId="266" priority="120" operator="lessThan">
      <formula>0</formula>
    </cfRule>
  </conditionalFormatting>
  <conditionalFormatting sqref="D15:E15 D21:E21 D24:E24 D12:E13">
    <cfRule type="cellIs" dxfId="265" priority="119" operator="lessThan">
      <formula>0</formula>
    </cfRule>
  </conditionalFormatting>
  <conditionalFormatting sqref="D15:E15 D21:E21 D24:E24 D12:E13">
    <cfRule type="cellIs" dxfId="264" priority="118" operator="lessThan">
      <formula>0</formula>
    </cfRule>
  </conditionalFormatting>
  <conditionalFormatting sqref="D15:E15 D21:E21 D24:E24 D12:E13">
    <cfRule type="cellIs" dxfId="263" priority="117" operator="lessThan">
      <formula>0</formula>
    </cfRule>
  </conditionalFormatting>
  <conditionalFormatting sqref="D21:E21">
    <cfRule type="cellIs" dxfId="262" priority="112" operator="lessThan">
      <formula>0</formula>
    </cfRule>
  </conditionalFormatting>
  <conditionalFormatting sqref="D21:E21">
    <cfRule type="cellIs" dxfId="261" priority="111" operator="lessThan">
      <formula>0</formula>
    </cfRule>
  </conditionalFormatting>
  <conditionalFormatting sqref="D21:E21">
    <cfRule type="cellIs" dxfId="260" priority="110" operator="lessThan">
      <formula>0</formula>
    </cfRule>
  </conditionalFormatting>
  <conditionalFormatting sqref="D25:E25">
    <cfRule type="cellIs" dxfId="259" priority="109" operator="lessThan">
      <formula>0</formula>
    </cfRule>
  </conditionalFormatting>
  <conditionalFormatting sqref="D20:E20">
    <cfRule type="cellIs" dxfId="258" priority="102" operator="lessThan">
      <formula>0</formula>
    </cfRule>
  </conditionalFormatting>
  <conditionalFormatting sqref="D20:E20">
    <cfRule type="cellIs" dxfId="257" priority="101" operator="lessThan">
      <formula>0</formula>
    </cfRule>
  </conditionalFormatting>
  <conditionalFormatting sqref="D20:E20">
    <cfRule type="cellIs" dxfId="256" priority="100" operator="lessThan">
      <formula>0</formula>
    </cfRule>
  </conditionalFormatting>
  <conditionalFormatting sqref="D20:E20">
    <cfRule type="cellIs" dxfId="255" priority="99" operator="lessThan">
      <formula>0</formula>
    </cfRule>
  </conditionalFormatting>
  <conditionalFormatting sqref="D20:E20">
    <cfRule type="cellIs" dxfId="254" priority="98" operator="lessThan">
      <formula>0</formula>
    </cfRule>
  </conditionalFormatting>
  <conditionalFormatting sqref="D20:E20">
    <cfRule type="cellIs" dxfId="253" priority="97" operator="lessThan">
      <formula>0</formula>
    </cfRule>
  </conditionalFormatting>
  <conditionalFormatting sqref="D26:E26">
    <cfRule type="cellIs" dxfId="252" priority="96" operator="lessThan">
      <formula>0</formula>
    </cfRule>
  </conditionalFormatting>
  <conditionalFormatting sqref="D26:E26">
    <cfRule type="cellIs" dxfId="251" priority="95" operator="lessThan">
      <formula>0</formula>
    </cfRule>
  </conditionalFormatting>
  <conditionalFormatting sqref="D26:E26">
    <cfRule type="cellIs" dxfId="250" priority="94" operator="lessThan">
      <formula>0</formula>
    </cfRule>
  </conditionalFormatting>
  <conditionalFormatting sqref="D26:E26">
    <cfRule type="cellIs" dxfId="249" priority="93" operator="lessThan">
      <formula>0</formula>
    </cfRule>
  </conditionalFormatting>
  <conditionalFormatting sqref="D26:E26">
    <cfRule type="cellIs" dxfId="248" priority="92" operator="lessThan">
      <formula>0</formula>
    </cfRule>
  </conditionalFormatting>
  <conditionalFormatting sqref="D26:E26">
    <cfRule type="cellIs" dxfId="247" priority="91" operator="lessThan">
      <formula>0</formula>
    </cfRule>
  </conditionalFormatting>
  <conditionalFormatting sqref="D22:E22">
    <cfRule type="cellIs" dxfId="246" priority="90" operator="lessThan">
      <formula>0</formula>
    </cfRule>
  </conditionalFormatting>
  <conditionalFormatting sqref="D22:E22">
    <cfRule type="cellIs" dxfId="245" priority="89" operator="lessThan">
      <formula>0</formula>
    </cfRule>
  </conditionalFormatting>
  <conditionalFormatting sqref="D22:E22">
    <cfRule type="cellIs" dxfId="244" priority="88" operator="lessThan">
      <formula>0</formula>
    </cfRule>
  </conditionalFormatting>
  <conditionalFormatting sqref="D22:E22">
    <cfRule type="cellIs" dxfId="243" priority="87" operator="lessThan">
      <formula>0</formula>
    </cfRule>
  </conditionalFormatting>
  <conditionalFormatting sqref="D22:E22">
    <cfRule type="cellIs" dxfId="242" priority="86" operator="lessThan">
      <formula>0</formula>
    </cfRule>
  </conditionalFormatting>
  <conditionalFormatting sqref="D22:E22">
    <cfRule type="cellIs" dxfId="241" priority="85" operator="lessThan">
      <formula>0</formula>
    </cfRule>
  </conditionalFormatting>
  <conditionalFormatting sqref="D23:E23">
    <cfRule type="cellIs" dxfId="240" priority="80" operator="lessThan">
      <formula>0</formula>
    </cfRule>
  </conditionalFormatting>
  <conditionalFormatting sqref="D23:E23">
    <cfRule type="cellIs" dxfId="239" priority="79" operator="lessThan">
      <formula>0</formula>
    </cfRule>
  </conditionalFormatting>
  <conditionalFormatting sqref="D23:E23">
    <cfRule type="cellIs" dxfId="238" priority="83" operator="lessThan">
      <formula>0</formula>
    </cfRule>
  </conditionalFormatting>
  <conditionalFormatting sqref="D23:E23">
    <cfRule type="cellIs" dxfId="237" priority="84" operator="lessThan">
      <formula>0</formula>
    </cfRule>
  </conditionalFormatting>
  <conditionalFormatting sqref="D23:E23">
    <cfRule type="cellIs" dxfId="236" priority="82" operator="lessThan">
      <formula>0</formula>
    </cfRule>
  </conditionalFormatting>
  <conditionalFormatting sqref="D23:E23">
    <cfRule type="cellIs" dxfId="235" priority="81" operator="lessThan">
      <formula>0</formula>
    </cfRule>
  </conditionalFormatting>
  <conditionalFormatting sqref="D30:E30">
    <cfRule type="cellIs" dxfId="234" priority="78" operator="lessThan">
      <formula>0</formula>
    </cfRule>
  </conditionalFormatting>
  <conditionalFormatting sqref="D3:E3">
    <cfRule type="cellIs" dxfId="233" priority="77" operator="lessThan">
      <formula>0</formula>
    </cfRule>
  </conditionalFormatting>
  <conditionalFormatting sqref="D2:E2">
    <cfRule type="cellIs" dxfId="232" priority="76" operator="lessThan">
      <formula>0</formula>
    </cfRule>
  </conditionalFormatting>
  <conditionalFormatting sqref="D14:E14">
    <cfRule type="cellIs" dxfId="231" priority="75" operator="lessThan">
      <formula>0</formula>
    </cfRule>
  </conditionalFormatting>
  <conditionalFormatting sqref="D14:E14">
    <cfRule type="cellIs" dxfId="230" priority="74" operator="lessThan">
      <formula>0</formula>
    </cfRule>
  </conditionalFormatting>
  <conditionalFormatting sqref="D14:E14">
    <cfRule type="cellIs" dxfId="229" priority="73" operator="lessThan">
      <formula>0</formula>
    </cfRule>
  </conditionalFormatting>
  <conditionalFormatting sqref="D33:E33">
    <cfRule type="cellIs" dxfId="228" priority="72" operator="lessThan">
      <formula>0</formula>
    </cfRule>
  </conditionalFormatting>
  <conditionalFormatting sqref="D33:E33">
    <cfRule type="cellIs" dxfId="227" priority="71" operator="lessThan">
      <formula>0</formula>
    </cfRule>
  </conditionalFormatting>
  <conditionalFormatting sqref="D33:E33">
    <cfRule type="cellIs" dxfId="226" priority="70" operator="lessThan">
      <formula>0</formula>
    </cfRule>
  </conditionalFormatting>
  <conditionalFormatting sqref="E16">
    <cfRule type="cellIs" dxfId="225" priority="69" operator="lessThan">
      <formula>0</formula>
    </cfRule>
  </conditionalFormatting>
  <conditionalFormatting sqref="E16">
    <cfRule type="cellIs" dxfId="224" priority="68" operator="lessThan">
      <formula>0</formula>
    </cfRule>
  </conditionalFormatting>
  <conditionalFormatting sqref="E16">
    <cfRule type="cellIs" dxfId="223" priority="67" operator="lessThan">
      <formula>0</formula>
    </cfRule>
  </conditionalFormatting>
  <conditionalFormatting sqref="B16">
    <cfRule type="cellIs" dxfId="222" priority="66" operator="lessThan">
      <formula>0</formula>
    </cfRule>
  </conditionalFormatting>
  <conditionalFormatting sqref="B16">
    <cfRule type="cellIs" dxfId="221" priority="65" operator="lessThan">
      <formula>0</formula>
    </cfRule>
  </conditionalFormatting>
  <conditionalFormatting sqref="B16">
    <cfRule type="cellIs" dxfId="220" priority="64" operator="lessThan">
      <formula>0</formula>
    </cfRule>
  </conditionalFormatting>
  <conditionalFormatting sqref="I16">
    <cfRule type="cellIs" dxfId="219" priority="63" operator="lessThan">
      <formula>0</formula>
    </cfRule>
  </conditionalFormatting>
  <conditionalFormatting sqref="I16">
    <cfRule type="cellIs" dxfId="218" priority="62" operator="lessThan">
      <formula>0</formula>
    </cfRule>
  </conditionalFormatting>
  <conditionalFormatting sqref="I16">
    <cfRule type="cellIs" dxfId="217" priority="61" operator="lessThan">
      <formula>0</formula>
    </cfRule>
  </conditionalFormatting>
  <conditionalFormatting sqref="J16">
    <cfRule type="cellIs" dxfId="216" priority="60" operator="lessThan">
      <formula>0</formula>
    </cfRule>
  </conditionalFormatting>
  <conditionalFormatting sqref="J16">
    <cfRule type="cellIs" dxfId="215" priority="59" operator="lessThan">
      <formula>0</formula>
    </cfRule>
  </conditionalFormatting>
  <conditionalFormatting sqref="J16">
    <cfRule type="cellIs" dxfId="214" priority="58" operator="lessThan">
      <formula>0</formula>
    </cfRule>
  </conditionalFormatting>
  <conditionalFormatting sqref="H16">
    <cfRule type="cellIs" dxfId="213" priority="57" operator="lessThan">
      <formula>0</formula>
    </cfRule>
  </conditionalFormatting>
  <conditionalFormatting sqref="H16">
    <cfRule type="cellIs" dxfId="212" priority="56" operator="lessThan">
      <formula>0</formula>
    </cfRule>
  </conditionalFormatting>
  <conditionalFormatting sqref="H16">
    <cfRule type="cellIs" dxfId="211" priority="55" operator="lessThan">
      <formula>0</formula>
    </cfRule>
  </conditionalFormatting>
  <conditionalFormatting sqref="G16">
    <cfRule type="cellIs" dxfId="210" priority="54" operator="lessThan">
      <formula>0</formula>
    </cfRule>
  </conditionalFormatting>
  <conditionalFormatting sqref="G16">
    <cfRule type="cellIs" dxfId="209" priority="53" operator="lessThan">
      <formula>0</formula>
    </cfRule>
  </conditionalFormatting>
  <conditionalFormatting sqref="G16">
    <cfRule type="cellIs" dxfId="208" priority="52" operator="lessThan">
      <formula>0</formula>
    </cfRule>
  </conditionalFormatting>
  <conditionalFormatting sqref="K16">
    <cfRule type="cellIs" dxfId="207" priority="51" operator="lessThan">
      <formula>0</formula>
    </cfRule>
  </conditionalFormatting>
  <conditionalFormatting sqref="K16">
    <cfRule type="cellIs" dxfId="206" priority="50" operator="lessThan">
      <formula>0</formula>
    </cfRule>
  </conditionalFormatting>
  <conditionalFormatting sqref="K16">
    <cfRule type="cellIs" dxfId="205" priority="49" operator="lessThan">
      <formula>0</formula>
    </cfRule>
  </conditionalFormatting>
  <conditionalFormatting sqref="C16">
    <cfRule type="cellIs" dxfId="204" priority="48" operator="lessThan">
      <formula>0</formula>
    </cfRule>
  </conditionalFormatting>
  <conditionalFormatting sqref="C16">
    <cfRule type="cellIs" dxfId="203" priority="47" operator="lessThan">
      <formula>0</formula>
    </cfRule>
  </conditionalFormatting>
  <conditionalFormatting sqref="C16">
    <cfRule type="cellIs" dxfId="202" priority="46" operator="lessThan">
      <formula>0</formula>
    </cfRule>
  </conditionalFormatting>
  <conditionalFormatting sqref="F16">
    <cfRule type="cellIs" dxfId="201" priority="45" operator="lessThan">
      <formula>0</formula>
    </cfRule>
  </conditionalFormatting>
  <conditionalFormatting sqref="F16">
    <cfRule type="cellIs" dxfId="200" priority="44" operator="lessThan">
      <formula>0</formula>
    </cfRule>
  </conditionalFormatting>
  <conditionalFormatting sqref="F16">
    <cfRule type="cellIs" dxfId="199" priority="43" operator="lessThan">
      <formula>0</formula>
    </cfRule>
  </conditionalFormatting>
  <conditionalFormatting sqref="D16:E16">
    <cfRule type="cellIs" dxfId="198" priority="42" operator="lessThan">
      <formula>0</formula>
    </cfRule>
  </conditionalFormatting>
  <conditionalFormatting sqref="D16:E16">
    <cfRule type="cellIs" dxfId="197" priority="41" operator="lessThan">
      <formula>0</formula>
    </cfRule>
  </conditionalFormatting>
  <conditionalFormatting sqref="D16:E16">
    <cfRule type="cellIs" dxfId="196" priority="40" operator="lessThan">
      <formula>0</formula>
    </cfRule>
  </conditionalFormatting>
  <conditionalFormatting sqref="B19">
    <cfRule type="cellIs" dxfId="195" priority="39" operator="lessThan">
      <formula>0</formula>
    </cfRule>
  </conditionalFormatting>
  <conditionalFormatting sqref="B19">
    <cfRule type="cellIs" dxfId="194" priority="38" operator="lessThan">
      <formula>0</formula>
    </cfRule>
  </conditionalFormatting>
  <conditionalFormatting sqref="B19">
    <cfRule type="cellIs" dxfId="193" priority="37" operator="lessThan">
      <formula>0</formula>
    </cfRule>
  </conditionalFormatting>
  <conditionalFormatting sqref="E19">
    <cfRule type="cellIs" dxfId="192" priority="36" operator="lessThan">
      <formula>0</formula>
    </cfRule>
  </conditionalFormatting>
  <conditionalFormatting sqref="E19">
    <cfRule type="cellIs" dxfId="191" priority="35" operator="lessThan">
      <formula>0</formula>
    </cfRule>
  </conditionalFormatting>
  <conditionalFormatting sqref="E19">
    <cfRule type="cellIs" dxfId="190" priority="34" operator="lessThan">
      <formula>0</formula>
    </cfRule>
  </conditionalFormatting>
  <conditionalFormatting sqref="E19">
    <cfRule type="cellIs" dxfId="189" priority="33" operator="lessThan">
      <formula>0</formula>
    </cfRule>
  </conditionalFormatting>
  <conditionalFormatting sqref="E19">
    <cfRule type="cellIs" dxfId="188" priority="32" operator="lessThan">
      <formula>0</formula>
    </cfRule>
  </conditionalFormatting>
  <conditionalFormatting sqref="E19">
    <cfRule type="cellIs" dxfId="187" priority="31" operator="lessThan">
      <formula>0</formula>
    </cfRule>
  </conditionalFormatting>
  <conditionalFormatting sqref="I19">
    <cfRule type="cellIs" dxfId="186" priority="30" operator="lessThan">
      <formula>0</formula>
    </cfRule>
  </conditionalFormatting>
  <conditionalFormatting sqref="I19">
    <cfRule type="cellIs" dxfId="185" priority="29" operator="lessThan">
      <formula>0</formula>
    </cfRule>
  </conditionalFormatting>
  <conditionalFormatting sqref="I19">
    <cfRule type="cellIs" dxfId="184" priority="28" operator="lessThan">
      <formula>0</formula>
    </cfRule>
  </conditionalFormatting>
  <conditionalFormatting sqref="J19">
    <cfRule type="cellIs" dxfId="183" priority="27" operator="lessThan">
      <formula>0</formula>
    </cfRule>
  </conditionalFormatting>
  <conditionalFormatting sqref="J19">
    <cfRule type="cellIs" dxfId="182" priority="26" operator="lessThan">
      <formula>0</formula>
    </cfRule>
  </conditionalFormatting>
  <conditionalFormatting sqref="J19">
    <cfRule type="cellIs" dxfId="181" priority="25" operator="lessThan">
      <formula>0</formula>
    </cfRule>
  </conditionalFormatting>
  <conditionalFormatting sqref="H19">
    <cfRule type="cellIs" dxfId="180" priority="24" operator="lessThan">
      <formula>0</formula>
    </cfRule>
  </conditionalFormatting>
  <conditionalFormatting sqref="H19">
    <cfRule type="cellIs" dxfId="179" priority="23" operator="lessThan">
      <formula>0</formula>
    </cfRule>
  </conditionalFormatting>
  <conditionalFormatting sqref="H19">
    <cfRule type="cellIs" dxfId="178" priority="22" operator="lessThan">
      <formula>0</formula>
    </cfRule>
  </conditionalFormatting>
  <conditionalFormatting sqref="G19">
    <cfRule type="cellIs" dxfId="177" priority="21" operator="lessThan">
      <formula>0</formula>
    </cfRule>
  </conditionalFormatting>
  <conditionalFormatting sqref="G19">
    <cfRule type="cellIs" dxfId="176" priority="20" operator="lessThan">
      <formula>0</formula>
    </cfRule>
  </conditionalFormatting>
  <conditionalFormatting sqref="G19">
    <cfRule type="cellIs" dxfId="175" priority="19" operator="lessThan">
      <formula>0</formula>
    </cfRule>
  </conditionalFormatting>
  <conditionalFormatting sqref="K19">
    <cfRule type="cellIs" dxfId="174" priority="18" operator="lessThan">
      <formula>0</formula>
    </cfRule>
  </conditionalFormatting>
  <conditionalFormatting sqref="K19">
    <cfRule type="cellIs" dxfId="173" priority="17" operator="lessThan">
      <formula>0</formula>
    </cfRule>
  </conditionalFormatting>
  <conditionalFormatting sqref="K19">
    <cfRule type="cellIs" dxfId="172" priority="16" operator="lessThan">
      <formula>0</formula>
    </cfRule>
  </conditionalFormatting>
  <conditionalFormatting sqref="C19">
    <cfRule type="cellIs" dxfId="171" priority="15" operator="lessThan">
      <formula>0</formula>
    </cfRule>
  </conditionalFormatting>
  <conditionalFormatting sqref="C19">
    <cfRule type="cellIs" dxfId="170" priority="14" operator="lessThan">
      <formula>0</formula>
    </cfRule>
  </conditionalFormatting>
  <conditionalFormatting sqref="C19">
    <cfRule type="cellIs" dxfId="169" priority="13" operator="lessThan">
      <formula>0</formula>
    </cfRule>
  </conditionalFormatting>
  <conditionalFormatting sqref="F19">
    <cfRule type="cellIs" dxfId="168" priority="12" operator="lessThan">
      <formula>0</formula>
    </cfRule>
  </conditionalFormatting>
  <conditionalFormatting sqref="F19">
    <cfRule type="cellIs" dxfId="167" priority="11" operator="lessThan">
      <formula>0</formula>
    </cfRule>
  </conditionalFormatting>
  <conditionalFormatting sqref="F19">
    <cfRule type="cellIs" dxfId="166" priority="10" operator="lessThan">
      <formula>0</formula>
    </cfRule>
  </conditionalFormatting>
  <conditionalFormatting sqref="F19">
    <cfRule type="cellIs" dxfId="165" priority="9" operator="lessThan">
      <formula>0</formula>
    </cfRule>
  </conditionalFormatting>
  <conditionalFormatting sqref="F19">
    <cfRule type="cellIs" dxfId="164" priority="8" operator="lessThan">
      <formula>0</formula>
    </cfRule>
  </conditionalFormatting>
  <conditionalFormatting sqref="F19">
    <cfRule type="cellIs" dxfId="163" priority="7" operator="lessThan">
      <formula>0</formula>
    </cfRule>
  </conditionalFormatting>
  <conditionalFormatting sqref="D19:E19">
    <cfRule type="cellIs" dxfId="162" priority="6" operator="lessThan">
      <formula>0</formula>
    </cfRule>
  </conditionalFormatting>
  <conditionalFormatting sqref="D19:E19">
    <cfRule type="cellIs" dxfId="161" priority="5" operator="lessThan">
      <formula>0</formula>
    </cfRule>
  </conditionalFormatting>
  <conditionalFormatting sqref="D19:E19">
    <cfRule type="cellIs" dxfId="160" priority="4" operator="lessThan">
      <formula>0</formula>
    </cfRule>
  </conditionalFormatting>
  <conditionalFormatting sqref="D19:E19">
    <cfRule type="cellIs" dxfId="159" priority="3" operator="lessThan">
      <formula>0</formula>
    </cfRule>
  </conditionalFormatting>
  <conditionalFormatting sqref="D19:E19">
    <cfRule type="cellIs" dxfId="158" priority="2" operator="lessThan">
      <formula>0</formula>
    </cfRule>
  </conditionalFormatting>
  <conditionalFormatting sqref="D19:E19">
    <cfRule type="cellIs" dxfId="157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J6 I17 I27 I25 G25:H25 J25 G27:H27 J27 F27 F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4">
    <tabColor theme="4" tint="-0.249977111117893"/>
  </sheetPr>
  <dimension ref="A3:V40"/>
  <sheetViews>
    <sheetView showGridLines="0" zoomScale="90" zoomScaleNormal="90" workbookViewId="0">
      <selection activeCell="B3" sqref="B3:C4"/>
    </sheetView>
  </sheetViews>
  <sheetFormatPr defaultColWidth="8.85546875" defaultRowHeight="12" outlineLevelCol="1"/>
  <cols>
    <col min="1" max="1" width="1.7109375" style="201" customWidth="1"/>
    <col min="2" max="2" width="40.5703125" style="201" customWidth="1"/>
    <col min="3" max="3" width="8.28515625" style="201" bestFit="1" customWidth="1"/>
    <col min="4" max="7" width="12.140625" style="226" customWidth="1"/>
    <col min="8" max="8" width="12.7109375" style="226" hidden="1" customWidth="1" outlineLevel="1"/>
    <col min="9" max="16" width="15.7109375" style="226" hidden="1" customWidth="1" outlineLevel="1"/>
    <col min="17" max="17" width="11.28515625" style="226" hidden="1" customWidth="1" outlineLevel="1"/>
    <col min="18" max="21" width="15.7109375" style="226" hidden="1" customWidth="1" outlineLevel="1"/>
    <col min="22" max="22" width="3" style="201" customWidth="1" collapsed="1"/>
    <col min="23" max="16384" width="8.85546875" style="201"/>
  </cols>
  <sheetData>
    <row r="3" spans="1:22" s="198" customFormat="1" ht="15" customHeight="1">
      <c r="A3" s="197"/>
      <c r="B3" s="475" t="s">
        <v>1345</v>
      </c>
      <c r="C3" s="476"/>
      <c r="D3" s="473" t="s">
        <v>1350</v>
      </c>
      <c r="E3" s="473" t="s">
        <v>1286</v>
      </c>
      <c r="F3" s="473" t="s">
        <v>1355</v>
      </c>
      <c r="G3" s="473" t="s">
        <v>1288</v>
      </c>
      <c r="H3" s="473" t="s">
        <v>1341</v>
      </c>
      <c r="I3" s="473">
        <v>2019</v>
      </c>
      <c r="J3" s="473" t="s">
        <v>1339</v>
      </c>
      <c r="K3" s="473" t="s">
        <v>1306</v>
      </c>
      <c r="L3" s="473" t="s">
        <v>1307</v>
      </c>
      <c r="M3" s="473" t="s">
        <v>1308</v>
      </c>
      <c r="N3" s="473" t="s">
        <v>1309</v>
      </c>
      <c r="O3" s="473" t="s">
        <v>1287</v>
      </c>
      <c r="P3" s="473" t="s">
        <v>1289</v>
      </c>
      <c r="Q3" s="473" t="s">
        <v>1283</v>
      </c>
      <c r="R3" s="473" t="s">
        <v>1284</v>
      </c>
      <c r="S3" s="473" t="s">
        <v>1317</v>
      </c>
      <c r="T3" s="473">
        <v>2018</v>
      </c>
      <c r="U3" s="473">
        <v>2017</v>
      </c>
    </row>
    <row r="4" spans="1:22" s="198" customFormat="1" ht="15" customHeight="1">
      <c r="A4" s="230"/>
      <c r="B4" s="477"/>
      <c r="C4" s="478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</row>
    <row r="5" spans="1:22" ht="20.100000000000001" customHeight="1">
      <c r="B5" s="242" t="s">
        <v>1138</v>
      </c>
      <c r="C5" s="243"/>
      <c r="D5" s="212">
        <f>D6</f>
        <v>163877000</v>
      </c>
      <c r="E5" s="212">
        <f>E6</f>
        <v>67933000</v>
      </c>
      <c r="F5" s="212">
        <f>F6</f>
        <v>209373000</v>
      </c>
      <c r="G5" s="212">
        <f>G6</f>
        <v>88987000</v>
      </c>
      <c r="H5" s="212">
        <f>H6</f>
        <v>45496000</v>
      </c>
      <c r="I5" s="212">
        <f t="shared" ref="I5:U5" si="0">I6</f>
        <v>480179000</v>
      </c>
      <c r="J5" s="212">
        <f t="shared" si="0"/>
        <v>114360000</v>
      </c>
      <c r="K5" s="212">
        <f t="shared" si="0"/>
        <v>276832000</v>
      </c>
      <c r="L5" s="212">
        <f t="shared" si="0"/>
        <v>22158000</v>
      </c>
      <c r="M5" s="212">
        <f t="shared" si="0"/>
        <v>365818000</v>
      </c>
      <c r="N5" s="212">
        <f t="shared" si="0"/>
        <v>74229000</v>
      </c>
      <c r="O5" s="212">
        <f t="shared" si="0"/>
        <v>35954000</v>
      </c>
      <c r="P5" s="212">
        <f t="shared" si="0"/>
        <v>52071000</v>
      </c>
      <c r="Q5" s="212">
        <f>Q6</f>
        <v>21054000</v>
      </c>
      <c r="R5" s="212">
        <f t="shared" si="0"/>
        <v>16117000</v>
      </c>
      <c r="S5" s="212">
        <f t="shared" si="0"/>
        <v>-10787000</v>
      </c>
      <c r="T5" s="212">
        <f t="shared" si="0"/>
        <v>63443000</v>
      </c>
      <c r="U5" s="212">
        <f t="shared" si="0"/>
        <v>-20082000</v>
      </c>
      <c r="V5" s="412"/>
    </row>
    <row r="6" spans="1:22" ht="20.100000000000001" customHeight="1">
      <c r="B6" s="237" t="s">
        <v>1347</v>
      </c>
      <c r="C6" s="238" t="s">
        <v>1231</v>
      </c>
      <c r="D6" s="239">
        <v>163877000</v>
      </c>
      <c r="E6" s="239">
        <v>67933000</v>
      </c>
      <c r="F6" s="239">
        <v>209373000</v>
      </c>
      <c r="G6" s="239">
        <v>88987000</v>
      </c>
      <c r="H6" s="239">
        <v>45496000</v>
      </c>
      <c r="I6" s="239">
        <v>480179000</v>
      </c>
      <c r="J6" s="239">
        <v>114360000</v>
      </c>
      <c r="K6" s="239">
        <v>276832000</v>
      </c>
      <c r="L6" s="239">
        <v>22158000</v>
      </c>
      <c r="M6" s="239">
        <v>365818000</v>
      </c>
      <c r="N6" s="239">
        <v>74229000</v>
      </c>
      <c r="O6" s="239">
        <v>35954000</v>
      </c>
      <c r="P6" s="239">
        <v>52071000</v>
      </c>
      <c r="Q6" s="239">
        <v>21054000</v>
      </c>
      <c r="R6" s="239">
        <v>16117000</v>
      </c>
      <c r="S6" s="239">
        <v>-10787000</v>
      </c>
      <c r="T6" s="239">
        <v>63443000</v>
      </c>
      <c r="U6" s="239">
        <v>-20082000</v>
      </c>
    </row>
    <row r="7" spans="1:22" ht="20.100000000000001" customHeight="1">
      <c r="B7" s="235" t="s">
        <v>1139</v>
      </c>
      <c r="C7" s="236"/>
      <c r="D7" s="240">
        <f>SUM(D8:D13)</f>
        <v>-10698000</v>
      </c>
      <c r="E7" s="240">
        <f>SUM(E8:E12)</f>
        <v>-11936000</v>
      </c>
      <c r="F7" s="240">
        <f>SUM(F8:F13)</f>
        <v>-19757000</v>
      </c>
      <c r="G7" s="240">
        <f>SUM(G8:G12)</f>
        <v>-22329000</v>
      </c>
      <c r="H7" s="240">
        <f>SUM(H8:H13)</f>
        <v>-9059000</v>
      </c>
      <c r="I7" s="240">
        <f>ROUND(SUM(I8:I12),-3)</f>
        <v>-74545000</v>
      </c>
      <c r="J7" s="240">
        <f t="shared" ref="J7" si="1">SUM(J8:J12)</f>
        <v>-21888000</v>
      </c>
      <c r="K7" s="240">
        <f t="shared" ref="K7:S7" si="2">SUM(K8:K12)</f>
        <v>-30326000</v>
      </c>
      <c r="L7" s="240">
        <f t="shared" si="2"/>
        <v>-14044000</v>
      </c>
      <c r="M7" s="240">
        <f t="shared" si="2"/>
        <v>-52656000</v>
      </c>
      <c r="N7" s="240">
        <f t="shared" si="2"/>
        <v>-26739000</v>
      </c>
      <c r="O7" s="240">
        <f t="shared" si="2"/>
        <v>-8335000</v>
      </c>
      <c r="P7" s="240">
        <f t="shared" si="2"/>
        <v>-12696000</v>
      </c>
      <c r="Q7" s="240">
        <f>SUM(Q8:Q13)</f>
        <v>-10393000</v>
      </c>
      <c r="R7" s="240">
        <f t="shared" si="2"/>
        <v>-4360000</v>
      </c>
      <c r="S7" s="240">
        <f t="shared" si="2"/>
        <v>-95165000</v>
      </c>
      <c r="T7" s="240">
        <f>SUM(T8:T12)</f>
        <v>-121904000</v>
      </c>
      <c r="U7" s="240">
        <f t="shared" ref="U7" si="3">SUM(U8:U12)</f>
        <v>-21765000</v>
      </c>
    </row>
    <row r="8" spans="1:22" ht="20.100000000000001" customHeight="1">
      <c r="B8" s="237" t="s">
        <v>1116</v>
      </c>
      <c r="C8" s="238" t="s">
        <v>1328</v>
      </c>
      <c r="D8" s="239">
        <v>-7573000</v>
      </c>
      <c r="E8" s="239">
        <v>-8464000</v>
      </c>
      <c r="F8" s="239">
        <v>-17061000</v>
      </c>
      <c r="G8" s="239">
        <v>-14845000</v>
      </c>
      <c r="H8" s="239">
        <v>-9487000</v>
      </c>
      <c r="I8" s="239">
        <v>-33758611</v>
      </c>
      <c r="J8" s="239">
        <v>-9607000</v>
      </c>
      <c r="K8" s="239">
        <v>-9306000</v>
      </c>
      <c r="L8" s="239">
        <v>-8389000</v>
      </c>
      <c r="M8" s="239">
        <v>-24153000</v>
      </c>
      <c r="N8" s="239">
        <v>-18678000</v>
      </c>
      <c r="O8" s="239">
        <v>-6494000</v>
      </c>
      <c r="P8" s="239">
        <v>-10291000</v>
      </c>
      <c r="Q8" s="239">
        <v>-6381000</v>
      </c>
      <c r="R8" s="239">
        <v>-3797000</v>
      </c>
      <c r="S8" s="239">
        <v>-7680000</v>
      </c>
      <c r="T8" s="239">
        <v>-26359000</v>
      </c>
      <c r="U8" s="239">
        <v>-16695000</v>
      </c>
    </row>
    <row r="9" spans="1:22" ht="20.100000000000001" customHeight="1">
      <c r="B9" s="237" t="s">
        <v>1125</v>
      </c>
      <c r="C9" s="238" t="s">
        <v>1230</v>
      </c>
      <c r="D9" s="239">
        <v>-2190000</v>
      </c>
      <c r="E9" s="239">
        <v>-2286000</v>
      </c>
      <c r="F9" s="239">
        <v>-4804000</v>
      </c>
      <c r="G9" s="239">
        <v>-4352000</v>
      </c>
      <c r="H9" s="239">
        <v>-2614000</v>
      </c>
      <c r="I9" s="239">
        <v>-9896000</v>
      </c>
      <c r="J9" s="239">
        <v>-3092000</v>
      </c>
      <c r="K9" s="239">
        <v>-2452000</v>
      </c>
      <c r="L9" s="239">
        <v>-5547000</v>
      </c>
      <c r="M9" s="239">
        <v>-6804000</v>
      </c>
      <c r="N9" s="239">
        <v>-8091000</v>
      </c>
      <c r="O9" s="239">
        <v>-1871000</v>
      </c>
      <c r="P9" s="239">
        <v>-2544000</v>
      </c>
      <c r="Q9" s="239">
        <v>-2066000</v>
      </c>
      <c r="R9" s="239">
        <v>-672000</v>
      </c>
      <c r="S9" s="239">
        <v>11000</v>
      </c>
      <c r="T9" s="239">
        <v>-8080000</v>
      </c>
      <c r="U9" s="239">
        <v>-5102000</v>
      </c>
    </row>
    <row r="10" spans="1:22" ht="20.100000000000001" customHeight="1">
      <c r="A10" s="231"/>
      <c r="B10" s="237" t="s">
        <v>364</v>
      </c>
      <c r="C10" s="238" t="s">
        <v>1230</v>
      </c>
      <c r="D10" s="239">
        <v>1223000</v>
      </c>
      <c r="E10" s="239">
        <v>249000</v>
      </c>
      <c r="F10" s="239">
        <v>1339000</v>
      </c>
      <c r="G10" s="239">
        <v>529000</v>
      </c>
      <c r="H10" s="239">
        <v>115000</v>
      </c>
      <c r="I10" s="239">
        <v>882000</v>
      </c>
      <c r="J10" s="239">
        <v>154000</v>
      </c>
      <c r="K10" s="239">
        <v>199000</v>
      </c>
      <c r="L10" s="239">
        <v>25000</v>
      </c>
      <c r="M10" s="239">
        <v>729000</v>
      </c>
      <c r="N10" s="239">
        <v>164000</v>
      </c>
      <c r="O10" s="239">
        <v>30000</v>
      </c>
      <c r="P10" s="239">
        <v>139000</v>
      </c>
      <c r="Q10" s="239">
        <v>280000</v>
      </c>
      <c r="R10" s="239">
        <v>109000</v>
      </c>
      <c r="S10" s="239">
        <v>1039000</v>
      </c>
      <c r="T10" s="239">
        <v>1203000</v>
      </c>
      <c r="U10" s="239">
        <v>48000</v>
      </c>
    </row>
    <row r="11" spans="1:22" ht="20.100000000000001" customHeight="1">
      <c r="B11" s="237" t="s">
        <v>261</v>
      </c>
      <c r="C11" s="238" t="s">
        <v>1230</v>
      </c>
      <c r="D11" s="239">
        <v>-1000</v>
      </c>
      <c r="E11" s="239">
        <v>0</v>
      </c>
      <c r="F11" s="239">
        <v>-854000</v>
      </c>
      <c r="G11" s="239">
        <v>-19000</v>
      </c>
      <c r="H11" s="239">
        <v>-853000</v>
      </c>
      <c r="I11" s="239">
        <v>-16416000</v>
      </c>
      <c r="J11" s="239">
        <v>0</v>
      </c>
      <c r="K11" s="239">
        <v>-16397000</v>
      </c>
      <c r="L11" s="239">
        <v>-133000</v>
      </c>
      <c r="M11" s="239">
        <v>-16416000</v>
      </c>
      <c r="N11" s="239">
        <v>-133000</v>
      </c>
      <c r="O11" s="239">
        <v>0</v>
      </c>
      <c r="P11" s="239">
        <v>0</v>
      </c>
      <c r="Q11" s="239">
        <v>-19000</v>
      </c>
      <c r="R11" s="239">
        <v>0</v>
      </c>
      <c r="S11" s="239">
        <v>-769000</v>
      </c>
      <c r="T11" s="239">
        <v>-901000</v>
      </c>
      <c r="U11" s="239">
        <v>-16000</v>
      </c>
    </row>
    <row r="12" spans="1:22" ht="20.100000000000001" customHeight="1">
      <c r="B12" s="237" t="s">
        <v>1280</v>
      </c>
      <c r="C12" s="238" t="s">
        <v>1230</v>
      </c>
      <c r="D12" s="239">
        <v>-2277000</v>
      </c>
      <c r="E12" s="239">
        <v>-1435000</v>
      </c>
      <c r="F12" s="239">
        <v>-3503000</v>
      </c>
      <c r="G12" s="239">
        <v>-3642000</v>
      </c>
      <c r="H12" s="239">
        <v>-1226000</v>
      </c>
      <c r="I12" s="239">
        <v>-15356000</v>
      </c>
      <c r="J12" s="239">
        <v>-9343000</v>
      </c>
      <c r="K12" s="239">
        <v>-2370000</v>
      </c>
      <c r="L12" s="239">
        <v>0</v>
      </c>
      <c r="M12" s="239">
        <v>-6012000</v>
      </c>
      <c r="N12" s="239">
        <v>-1000</v>
      </c>
      <c r="O12" s="239">
        <v>0</v>
      </c>
      <c r="P12" s="239">
        <v>0</v>
      </c>
      <c r="Q12" s="239">
        <v>-2207000</v>
      </c>
      <c r="R12" s="239">
        <v>0</v>
      </c>
      <c r="S12" s="239">
        <v>-87766000</v>
      </c>
      <c r="T12" s="239">
        <v>-87767000</v>
      </c>
      <c r="U12" s="239">
        <v>0</v>
      </c>
    </row>
    <row r="13" spans="1:22" ht="20.100000000000001" customHeight="1">
      <c r="B13" s="237" t="s">
        <v>1342</v>
      </c>
      <c r="C13" s="238" t="s">
        <v>1230</v>
      </c>
      <c r="D13" s="239">
        <v>120000</v>
      </c>
      <c r="E13" s="239">
        <v>0</v>
      </c>
      <c r="F13" s="239">
        <v>5126000</v>
      </c>
      <c r="G13" s="239">
        <v>0</v>
      </c>
      <c r="H13" s="239">
        <v>5006000</v>
      </c>
      <c r="I13" s="239"/>
      <c r="J13" s="239"/>
      <c r="K13" s="239"/>
      <c r="L13" s="239"/>
      <c r="M13" s="239"/>
      <c r="N13" s="239"/>
      <c r="O13" s="239"/>
      <c r="P13" s="239"/>
      <c r="Q13" s="239">
        <v>0</v>
      </c>
      <c r="R13" s="239">
        <v>0</v>
      </c>
      <c r="S13" s="239">
        <v>0</v>
      </c>
      <c r="T13" s="239">
        <v>0</v>
      </c>
      <c r="U13" s="239">
        <v>0</v>
      </c>
    </row>
    <row r="14" spans="1:22" ht="20.100000000000001" customHeight="1">
      <c r="B14" s="235" t="s">
        <v>1140</v>
      </c>
      <c r="C14" s="238"/>
      <c r="D14" s="240">
        <f t="shared" ref="D14:I14" si="4">D5+D7</f>
        <v>153179000</v>
      </c>
      <c r="E14" s="240">
        <f t="shared" si="4"/>
        <v>55997000</v>
      </c>
      <c r="F14" s="240">
        <f t="shared" si="4"/>
        <v>189616000</v>
      </c>
      <c r="G14" s="240">
        <f t="shared" si="4"/>
        <v>66658000</v>
      </c>
      <c r="H14" s="240">
        <f t="shared" si="4"/>
        <v>36437000</v>
      </c>
      <c r="I14" s="240">
        <f t="shared" si="4"/>
        <v>405634000</v>
      </c>
      <c r="J14" s="240">
        <f t="shared" ref="J14" si="5">J5+J7</f>
        <v>92472000</v>
      </c>
      <c r="K14" s="240">
        <f t="shared" ref="K14:S14" si="6">K5+K7</f>
        <v>246506000</v>
      </c>
      <c r="L14" s="240">
        <f t="shared" si="6"/>
        <v>8114000</v>
      </c>
      <c r="M14" s="240">
        <f t="shared" si="6"/>
        <v>313162000</v>
      </c>
      <c r="N14" s="240">
        <f t="shared" si="6"/>
        <v>47490000</v>
      </c>
      <c r="O14" s="240">
        <f t="shared" si="6"/>
        <v>27619000</v>
      </c>
      <c r="P14" s="240">
        <f t="shared" si="6"/>
        <v>39375000</v>
      </c>
      <c r="Q14" s="240">
        <f>Q5+Q7</f>
        <v>10661000</v>
      </c>
      <c r="R14" s="240">
        <f t="shared" si="6"/>
        <v>11757000</v>
      </c>
      <c r="S14" s="240">
        <f t="shared" si="6"/>
        <v>-105952000</v>
      </c>
      <c r="T14" s="240">
        <f>T5+T7</f>
        <v>-58461000</v>
      </c>
      <c r="U14" s="240">
        <f t="shared" ref="U14" si="7">U5+U7</f>
        <v>-41847000</v>
      </c>
    </row>
    <row r="15" spans="1:22" ht="20.100000000000001" customHeight="1">
      <c r="B15" s="237" t="s">
        <v>1247</v>
      </c>
      <c r="C15" s="238" t="s">
        <v>1304</v>
      </c>
      <c r="D15" s="239">
        <v>7443000</v>
      </c>
      <c r="E15" s="239">
        <v>18748000</v>
      </c>
      <c r="F15" s="239">
        <v>17853000</v>
      </c>
      <c r="G15" s="239">
        <v>37338000</v>
      </c>
      <c r="H15" s="239">
        <v>10409000</v>
      </c>
      <c r="I15" s="239">
        <v>75704000</v>
      </c>
      <c r="J15" s="239">
        <v>18849000</v>
      </c>
      <c r="K15" s="239">
        <v>19517000</v>
      </c>
      <c r="L15" s="239">
        <v>27668000</v>
      </c>
      <c r="M15" s="239">
        <v>56855000</v>
      </c>
      <c r="N15" s="239">
        <v>69109000</v>
      </c>
      <c r="O15" s="239">
        <v>14977000</v>
      </c>
      <c r="P15" s="239">
        <v>41441000</v>
      </c>
      <c r="Q15" s="239">
        <v>18590000</v>
      </c>
      <c r="R15" s="239">
        <v>26464000</v>
      </c>
      <c r="S15" s="239">
        <v>19842000</v>
      </c>
      <c r="T15" s="239">
        <v>88950000</v>
      </c>
      <c r="U15" s="239">
        <v>114380000</v>
      </c>
    </row>
    <row r="16" spans="1:22" ht="20.100000000000001" customHeight="1">
      <c r="B16" s="237" t="s">
        <v>1117</v>
      </c>
      <c r="C16" s="238" t="s">
        <v>1304</v>
      </c>
      <c r="D16" s="239">
        <v>-907000</v>
      </c>
      <c r="E16" s="239">
        <v>-984000</v>
      </c>
      <c r="F16" s="239">
        <v>-1834000</v>
      </c>
      <c r="G16" s="239">
        <v>-1922000</v>
      </c>
      <c r="H16" s="239">
        <v>-927000</v>
      </c>
      <c r="I16" s="239">
        <v>-3419000</v>
      </c>
      <c r="J16" s="239">
        <v>-494000</v>
      </c>
      <c r="K16" s="239">
        <v>-1004000</v>
      </c>
      <c r="L16" s="239">
        <v>0</v>
      </c>
      <c r="M16" s="239">
        <v>-2925000</v>
      </c>
      <c r="N16" s="239">
        <v>-233000</v>
      </c>
      <c r="O16" s="239">
        <v>-61000</v>
      </c>
      <c r="P16" s="239">
        <v>-233000</v>
      </c>
      <c r="Q16" s="239">
        <v>-938000</v>
      </c>
      <c r="R16" s="239">
        <v>-172000</v>
      </c>
      <c r="S16" s="239">
        <v>0</v>
      </c>
      <c r="T16" s="239">
        <v>-233000</v>
      </c>
      <c r="U16" s="239">
        <v>0</v>
      </c>
    </row>
    <row r="17" spans="2:21" ht="20.100000000000001" customHeight="1">
      <c r="B17" s="235" t="s">
        <v>1141</v>
      </c>
      <c r="C17" s="238"/>
      <c r="D17" s="240">
        <f t="shared" ref="D17:I17" si="8">SUM(D14:D16)</f>
        <v>159715000</v>
      </c>
      <c r="E17" s="240">
        <f t="shared" si="8"/>
        <v>73761000</v>
      </c>
      <c r="F17" s="240">
        <f t="shared" si="8"/>
        <v>205635000</v>
      </c>
      <c r="G17" s="240">
        <f t="shared" si="8"/>
        <v>102074000</v>
      </c>
      <c r="H17" s="240">
        <f t="shared" si="8"/>
        <v>45919000</v>
      </c>
      <c r="I17" s="240">
        <f t="shared" si="8"/>
        <v>477919000</v>
      </c>
      <c r="J17" s="240">
        <f t="shared" ref="J17" si="9">SUM(J14:J16)</f>
        <v>110827000</v>
      </c>
      <c r="K17" s="240">
        <f t="shared" ref="K17:S17" si="10">SUM(K14:K16)</f>
        <v>265019000</v>
      </c>
      <c r="L17" s="240">
        <f t="shared" si="10"/>
        <v>35782000</v>
      </c>
      <c r="M17" s="240">
        <f t="shared" si="10"/>
        <v>367092000</v>
      </c>
      <c r="N17" s="240">
        <f t="shared" si="10"/>
        <v>116366000</v>
      </c>
      <c r="O17" s="240">
        <f t="shared" si="10"/>
        <v>42535000</v>
      </c>
      <c r="P17" s="240">
        <f t="shared" si="10"/>
        <v>80583000</v>
      </c>
      <c r="Q17" s="240">
        <f>SUM(Q14:Q16)</f>
        <v>28313000</v>
      </c>
      <c r="R17" s="240">
        <f t="shared" si="10"/>
        <v>38049000</v>
      </c>
      <c r="S17" s="240">
        <f t="shared" si="10"/>
        <v>-86110000</v>
      </c>
      <c r="T17" s="240">
        <f>SUM(T14:T16)</f>
        <v>30256000</v>
      </c>
      <c r="U17" s="240">
        <f t="shared" ref="U17" si="11">SUM(U14:U16)</f>
        <v>72533000</v>
      </c>
    </row>
    <row r="18" spans="2:21" ht="20.100000000000001" customHeight="1">
      <c r="B18" s="235" t="s">
        <v>1142</v>
      </c>
      <c r="C18" s="238" t="s">
        <v>1229</v>
      </c>
      <c r="D18" s="240">
        <f t="shared" ref="D18:I18" si="12">SUM(D19:D21)</f>
        <v>69565000</v>
      </c>
      <c r="E18" s="240">
        <f t="shared" si="12"/>
        <v>-7130000</v>
      </c>
      <c r="F18" s="240">
        <f t="shared" si="12"/>
        <v>60975000</v>
      </c>
      <c r="G18" s="240">
        <f t="shared" si="12"/>
        <v>-13789000</v>
      </c>
      <c r="H18" s="240">
        <f t="shared" si="12"/>
        <v>-8589000</v>
      </c>
      <c r="I18" s="240">
        <f t="shared" si="12"/>
        <v>-90102000</v>
      </c>
      <c r="J18" s="240">
        <f t="shared" ref="J18" si="13">SUM(J19:J21)</f>
        <v>382000</v>
      </c>
      <c r="K18" s="240">
        <f t="shared" ref="K18:S18" si="14">SUM(K19:K21)</f>
        <v>-76694000</v>
      </c>
      <c r="L18" s="240">
        <f t="shared" si="14"/>
        <v>-15196000</v>
      </c>
      <c r="M18" s="240">
        <f t="shared" si="14"/>
        <v>-90482000</v>
      </c>
      <c r="N18" s="240">
        <f t="shared" si="14"/>
        <v>-25060000</v>
      </c>
      <c r="O18" s="240">
        <f t="shared" si="14"/>
        <v>-6549000</v>
      </c>
      <c r="P18" s="240">
        <f t="shared" si="14"/>
        <v>-9864000</v>
      </c>
      <c r="Q18" s="240">
        <f>SUM(Q19:Q21)</f>
        <v>-6659000</v>
      </c>
      <c r="R18" s="240">
        <f t="shared" si="14"/>
        <v>-3315000</v>
      </c>
      <c r="S18" s="240">
        <f t="shared" si="14"/>
        <v>34877000</v>
      </c>
      <c r="T18" s="240">
        <f>SUM(T19:T21)</f>
        <v>9817000</v>
      </c>
      <c r="U18" s="240">
        <f t="shared" ref="U18" si="15">SUM(U19:U21)</f>
        <v>-26282000</v>
      </c>
    </row>
    <row r="19" spans="2:21" ht="19.5" customHeight="1">
      <c r="B19" s="237" t="s">
        <v>1143</v>
      </c>
      <c r="C19" s="238"/>
      <c r="D19" s="239">
        <v>14531000</v>
      </c>
      <c r="E19" s="239">
        <v>-8629000</v>
      </c>
      <c r="F19" s="239">
        <v>0</v>
      </c>
      <c r="G19" s="239">
        <v>-11275000</v>
      </c>
      <c r="H19" s="239">
        <v>-14531000</v>
      </c>
      <c r="I19" s="239">
        <v>-66496000</v>
      </c>
      <c r="J19" s="239">
        <v>-1997000</v>
      </c>
      <c r="K19" s="239">
        <v>-53223000</v>
      </c>
      <c r="L19" s="239">
        <v>-5321000</v>
      </c>
      <c r="M19" s="239">
        <v>-64498000</v>
      </c>
      <c r="N19" s="239">
        <v>-9693000</v>
      </c>
      <c r="O19" s="239">
        <v>-1936000</v>
      </c>
      <c r="P19" s="239">
        <v>-4372000</v>
      </c>
      <c r="Q19" s="239">
        <v>-2646000</v>
      </c>
      <c r="R19" s="239">
        <v>-2436000</v>
      </c>
      <c r="S19" s="239">
        <v>-1565000</v>
      </c>
      <c r="T19" s="239">
        <v>-11258000</v>
      </c>
      <c r="U19" s="239">
        <v>-19318000</v>
      </c>
    </row>
    <row r="20" spans="2:21" ht="20.100000000000001" customHeight="1">
      <c r="B20" s="237" t="s">
        <v>1144</v>
      </c>
      <c r="C20" s="238"/>
      <c r="D20" s="239">
        <v>5233000</v>
      </c>
      <c r="E20" s="239">
        <v>-3109000</v>
      </c>
      <c r="F20" s="239">
        <v>0</v>
      </c>
      <c r="G20" s="239">
        <v>-4064000</v>
      </c>
      <c r="H20" s="239">
        <v>-5233000</v>
      </c>
      <c r="I20" s="239">
        <v>-23890000</v>
      </c>
      <c r="J20" s="239">
        <v>-663000</v>
      </c>
      <c r="K20" s="239">
        <v>-19163000</v>
      </c>
      <c r="L20" s="239">
        <v>-1918000</v>
      </c>
      <c r="M20" s="239">
        <v>-23226000</v>
      </c>
      <c r="N20" s="239">
        <v>-3496000</v>
      </c>
      <c r="O20" s="239">
        <v>-699000</v>
      </c>
      <c r="P20" s="239">
        <v>-1578000</v>
      </c>
      <c r="Q20" s="239">
        <v>-955000</v>
      </c>
      <c r="R20" s="239">
        <v>-879000</v>
      </c>
      <c r="S20" s="239">
        <v>-525000</v>
      </c>
      <c r="T20" s="239">
        <v>-4021000</v>
      </c>
      <c r="U20" s="239">
        <v>-6963000</v>
      </c>
    </row>
    <row r="21" spans="2:21" ht="20.100000000000001" customHeight="1">
      <c r="B21" s="237" t="s">
        <v>1009</v>
      </c>
      <c r="C21" s="238"/>
      <c r="D21" s="239">
        <v>49801000</v>
      </c>
      <c r="E21" s="239">
        <v>4608000</v>
      </c>
      <c r="F21" s="239">
        <v>60975000</v>
      </c>
      <c r="G21" s="239">
        <v>1550000</v>
      </c>
      <c r="H21" s="239">
        <v>11175000</v>
      </c>
      <c r="I21" s="239">
        <v>284000</v>
      </c>
      <c r="J21" s="239">
        <v>3042000</v>
      </c>
      <c r="K21" s="239">
        <v>-4308000</v>
      </c>
      <c r="L21" s="239">
        <v>-7957000</v>
      </c>
      <c r="M21" s="239">
        <v>-2758000</v>
      </c>
      <c r="N21" s="239">
        <v>-11871000</v>
      </c>
      <c r="O21" s="239">
        <v>-3914000</v>
      </c>
      <c r="P21" s="239">
        <v>-3914000</v>
      </c>
      <c r="Q21" s="239">
        <v>-3058000</v>
      </c>
      <c r="R21" s="239">
        <v>0</v>
      </c>
      <c r="S21" s="239">
        <v>36967000</v>
      </c>
      <c r="T21" s="239">
        <v>25096000</v>
      </c>
      <c r="U21" s="239">
        <v>-1000</v>
      </c>
    </row>
    <row r="22" spans="2:21" ht="20.100000000000001" customHeight="1">
      <c r="B22" s="235" t="s">
        <v>1223</v>
      </c>
      <c r="C22" s="238"/>
      <c r="D22" s="240">
        <f t="shared" ref="D22:I22" si="16">D17+D18</f>
        <v>229280000</v>
      </c>
      <c r="E22" s="240">
        <f t="shared" si="16"/>
        <v>66631000</v>
      </c>
      <c r="F22" s="240">
        <f t="shared" si="16"/>
        <v>266610000</v>
      </c>
      <c r="G22" s="240">
        <f t="shared" si="16"/>
        <v>88285000</v>
      </c>
      <c r="H22" s="240">
        <f t="shared" si="16"/>
        <v>37330000</v>
      </c>
      <c r="I22" s="240">
        <f t="shared" si="16"/>
        <v>387817000</v>
      </c>
      <c r="J22" s="240">
        <f t="shared" ref="J22" si="17">J17+J18</f>
        <v>111209000</v>
      </c>
      <c r="K22" s="240">
        <f t="shared" ref="K22:S22" si="18">K17+K18</f>
        <v>188325000</v>
      </c>
      <c r="L22" s="240">
        <f t="shared" si="18"/>
        <v>20586000</v>
      </c>
      <c r="M22" s="240">
        <f t="shared" si="18"/>
        <v>276610000</v>
      </c>
      <c r="N22" s="240">
        <f t="shared" si="18"/>
        <v>91306000</v>
      </c>
      <c r="O22" s="240">
        <f t="shared" si="18"/>
        <v>35986000</v>
      </c>
      <c r="P22" s="240">
        <f t="shared" si="18"/>
        <v>70719000</v>
      </c>
      <c r="Q22" s="240">
        <f>Q17+Q18</f>
        <v>21654000</v>
      </c>
      <c r="R22" s="240">
        <f t="shared" si="18"/>
        <v>34734000</v>
      </c>
      <c r="S22" s="240">
        <f t="shared" si="18"/>
        <v>-51233000</v>
      </c>
      <c r="T22" s="240">
        <f>T17+T18</f>
        <v>40073000</v>
      </c>
      <c r="U22" s="240">
        <f t="shared" ref="U22" si="19">U17+U18</f>
        <v>46251000</v>
      </c>
    </row>
    <row r="23" spans="2:21" ht="20.100000000000001" customHeight="1">
      <c r="B23" s="235" t="s">
        <v>1145</v>
      </c>
      <c r="C23" s="238"/>
      <c r="D23" s="240">
        <v>-716000</v>
      </c>
      <c r="E23" s="240">
        <v>0</v>
      </c>
      <c r="F23" s="240">
        <v>-716000</v>
      </c>
      <c r="G23" s="240">
        <v>0</v>
      </c>
      <c r="H23" s="240">
        <v>0</v>
      </c>
      <c r="I23" s="240">
        <v>-644000</v>
      </c>
      <c r="J23" s="240">
        <v>-644000</v>
      </c>
      <c r="K23" s="240">
        <v>0</v>
      </c>
      <c r="L23" s="240">
        <v>0</v>
      </c>
      <c r="M23" s="240">
        <v>0</v>
      </c>
      <c r="N23" s="240">
        <v>-553000</v>
      </c>
      <c r="O23" s="240">
        <v>-553000</v>
      </c>
      <c r="P23" s="240">
        <v>-553000</v>
      </c>
      <c r="Q23" s="240">
        <v>0</v>
      </c>
      <c r="R23" s="240">
        <v>0</v>
      </c>
      <c r="S23" s="240">
        <v>0</v>
      </c>
      <c r="T23" s="240">
        <v>-552000</v>
      </c>
      <c r="U23" s="240">
        <v>0</v>
      </c>
    </row>
    <row r="24" spans="2:21" ht="20.100000000000001" customHeight="1">
      <c r="B24" s="235" t="s">
        <v>1290</v>
      </c>
      <c r="C24" s="236"/>
      <c r="D24" s="240">
        <f>D22+D23</f>
        <v>228564000</v>
      </c>
      <c r="E24" s="240">
        <f>E22+E23</f>
        <v>66631000</v>
      </c>
      <c r="F24" s="240">
        <f>F22+F23</f>
        <v>265894000</v>
      </c>
      <c r="G24" s="240">
        <f>G22+G23</f>
        <v>88285000</v>
      </c>
      <c r="H24" s="240">
        <f>H22+H23</f>
        <v>37330000</v>
      </c>
      <c r="I24" s="240">
        <f t="shared" ref="I24:J24" si="20">I22+I23</f>
        <v>387173000</v>
      </c>
      <c r="J24" s="240">
        <f t="shared" si="20"/>
        <v>110565000</v>
      </c>
      <c r="K24" s="240">
        <f t="shared" ref="K24:S24" si="21">K22+K23</f>
        <v>188325000</v>
      </c>
      <c r="L24" s="240">
        <f t="shared" si="21"/>
        <v>20586000</v>
      </c>
      <c r="M24" s="240">
        <f t="shared" si="21"/>
        <v>276610000</v>
      </c>
      <c r="N24" s="240">
        <f t="shared" si="21"/>
        <v>90753000</v>
      </c>
      <c r="O24" s="240">
        <f t="shared" si="21"/>
        <v>35433000</v>
      </c>
      <c r="P24" s="240">
        <f t="shared" si="21"/>
        <v>70166000</v>
      </c>
      <c r="Q24" s="240">
        <f t="shared" si="21"/>
        <v>21654000</v>
      </c>
      <c r="R24" s="240">
        <f t="shared" si="21"/>
        <v>34734000</v>
      </c>
      <c r="S24" s="240">
        <f t="shared" si="21"/>
        <v>-51233000</v>
      </c>
      <c r="T24" s="240">
        <f>T22+T23</f>
        <v>39521000</v>
      </c>
      <c r="U24" s="240">
        <f t="shared" ref="U24" si="22">U22+U23</f>
        <v>46251000</v>
      </c>
    </row>
    <row r="25" spans="2:21" ht="20.100000000000001" customHeight="1">
      <c r="B25" s="235" t="s">
        <v>1147</v>
      </c>
      <c r="C25" s="236"/>
      <c r="D25" s="241">
        <v>2500000</v>
      </c>
      <c r="E25" s="241">
        <v>2500000</v>
      </c>
      <c r="F25" s="241">
        <v>2500000</v>
      </c>
      <c r="G25" s="241">
        <v>2500000</v>
      </c>
      <c r="H25" s="241">
        <v>2500000</v>
      </c>
      <c r="I25" s="241">
        <v>2500000</v>
      </c>
      <c r="J25" s="241">
        <v>2500000</v>
      </c>
      <c r="K25" s="241">
        <v>2500000</v>
      </c>
      <c r="L25" s="241">
        <v>2500000</v>
      </c>
      <c r="M25" s="241">
        <v>2500000</v>
      </c>
      <c r="N25" s="241">
        <v>2500000</v>
      </c>
      <c r="O25" s="241">
        <v>2500000</v>
      </c>
      <c r="P25" s="241">
        <v>2500000</v>
      </c>
      <c r="Q25" s="241">
        <v>2500000</v>
      </c>
      <c r="R25" s="241">
        <v>2500000</v>
      </c>
      <c r="S25" s="241">
        <v>2500000</v>
      </c>
      <c r="T25" s="241">
        <v>2500000</v>
      </c>
      <c r="U25" s="241">
        <v>2500000</v>
      </c>
    </row>
    <row r="26" spans="2:21" ht="20.100000000000001" customHeight="1">
      <c r="B26" s="332" t="s">
        <v>1291</v>
      </c>
      <c r="C26" s="333"/>
      <c r="D26" s="334">
        <f>D24/D25</f>
        <v>91.425600000000003</v>
      </c>
      <c r="E26" s="334">
        <f>E24/E25</f>
        <v>26.6524</v>
      </c>
      <c r="F26" s="334">
        <f>F24/F25</f>
        <v>106.35760000000001</v>
      </c>
      <c r="G26" s="334">
        <f>G24/G25</f>
        <v>35.314</v>
      </c>
      <c r="H26" s="334">
        <f>H24/H25</f>
        <v>14.932</v>
      </c>
      <c r="I26" s="334">
        <f t="shared" ref="I26:J26" si="23">I24/I25</f>
        <v>154.86920000000001</v>
      </c>
      <c r="J26" s="334">
        <f t="shared" si="23"/>
        <v>44.225999999999999</v>
      </c>
      <c r="K26" s="334">
        <f t="shared" ref="K26:S26" si="24">K24/K25</f>
        <v>75.33</v>
      </c>
      <c r="L26" s="334">
        <f t="shared" si="24"/>
        <v>8.2344000000000008</v>
      </c>
      <c r="M26" s="334">
        <f t="shared" si="24"/>
        <v>110.64400000000001</v>
      </c>
      <c r="N26" s="334">
        <f t="shared" si="24"/>
        <v>36.301200000000001</v>
      </c>
      <c r="O26" s="334">
        <f t="shared" si="24"/>
        <v>14.1732</v>
      </c>
      <c r="P26" s="334">
        <f t="shared" si="24"/>
        <v>28.066400000000002</v>
      </c>
      <c r="Q26" s="334">
        <f t="shared" si="24"/>
        <v>8.6616</v>
      </c>
      <c r="R26" s="334">
        <f t="shared" si="24"/>
        <v>13.893599999999999</v>
      </c>
      <c r="S26" s="334">
        <f t="shared" si="24"/>
        <v>-20.493200000000002</v>
      </c>
      <c r="T26" s="334">
        <f t="shared" ref="T26:U26" si="25">T24/T25</f>
        <v>15.808400000000001</v>
      </c>
      <c r="U26" s="334">
        <f t="shared" si="25"/>
        <v>18.500399999999999</v>
      </c>
    </row>
    <row r="27" spans="2:21" ht="15" customHeight="1">
      <c r="B27" s="335" t="s">
        <v>345</v>
      </c>
      <c r="C27" s="336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</row>
    <row r="28" spans="2:21" ht="15" customHeight="1">
      <c r="C28" s="232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</row>
    <row r="29" spans="2:21" ht="15" customHeight="1">
      <c r="C29" s="232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</row>
    <row r="30" spans="2:21" s="234" customFormat="1" ht="15" customHeight="1">
      <c r="B30" s="343" t="s">
        <v>1239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</row>
    <row r="31" spans="2:21" s="234" customFormat="1" ht="15" customHeight="1">
      <c r="B31" s="204" t="s">
        <v>1146</v>
      </c>
      <c r="C31" s="205"/>
      <c r="D31" s="205">
        <v>228564000</v>
      </c>
      <c r="E31" s="205">
        <v>66631000</v>
      </c>
      <c r="F31" s="205">
        <v>265894000</v>
      </c>
      <c r="G31" s="205">
        <v>88285000</v>
      </c>
      <c r="H31" s="205">
        <v>37330000</v>
      </c>
      <c r="I31" s="205">
        <v>387173000</v>
      </c>
      <c r="J31" s="205">
        <v>110564000</v>
      </c>
      <c r="K31" s="205">
        <v>188325000</v>
      </c>
      <c r="L31" s="205">
        <v>20586000</v>
      </c>
      <c r="M31" s="205">
        <v>276609000</v>
      </c>
      <c r="N31" s="205">
        <v>90753000</v>
      </c>
      <c r="O31" s="205">
        <v>35433000</v>
      </c>
      <c r="P31" s="205">
        <v>70166000</v>
      </c>
      <c r="Q31" s="205">
        <v>21654000</v>
      </c>
      <c r="R31" s="205">
        <v>34734000</v>
      </c>
      <c r="S31" s="205">
        <v>-51232000</v>
      </c>
      <c r="T31" s="205">
        <v>39521000</v>
      </c>
      <c r="U31" s="205">
        <v>46251000</v>
      </c>
    </row>
    <row r="32" spans="2:21" s="234" customFormat="1" ht="15" customHeight="1">
      <c r="B32" s="344" t="s">
        <v>1294</v>
      </c>
      <c r="C32" s="206"/>
      <c r="D32" s="206">
        <f t="shared" ref="D32:K32" si="26">D24-D31</f>
        <v>0</v>
      </c>
      <c r="E32" s="206">
        <f t="shared" si="26"/>
        <v>0</v>
      </c>
      <c r="F32" s="206">
        <f t="shared" si="26"/>
        <v>0</v>
      </c>
      <c r="G32" s="206">
        <f t="shared" si="26"/>
        <v>0</v>
      </c>
      <c r="H32" s="206">
        <f t="shared" si="26"/>
        <v>0</v>
      </c>
      <c r="I32" s="206">
        <f t="shared" si="26"/>
        <v>0</v>
      </c>
      <c r="J32" s="206">
        <f t="shared" si="26"/>
        <v>1000</v>
      </c>
      <c r="K32" s="206">
        <f t="shared" si="26"/>
        <v>0</v>
      </c>
      <c r="L32" s="206">
        <f t="shared" ref="L32:U32" si="27">L24-L31</f>
        <v>0</v>
      </c>
      <c r="M32" s="206">
        <f t="shared" si="27"/>
        <v>1000</v>
      </c>
      <c r="N32" s="206">
        <f t="shared" si="27"/>
        <v>0</v>
      </c>
      <c r="O32" s="206">
        <f t="shared" si="27"/>
        <v>0</v>
      </c>
      <c r="P32" s="206">
        <f t="shared" si="27"/>
        <v>0</v>
      </c>
      <c r="Q32" s="206">
        <f t="shared" si="27"/>
        <v>0</v>
      </c>
      <c r="R32" s="206">
        <f t="shared" si="27"/>
        <v>0</v>
      </c>
      <c r="S32" s="206">
        <f t="shared" si="27"/>
        <v>-1000</v>
      </c>
      <c r="T32" s="206">
        <f t="shared" si="27"/>
        <v>0</v>
      </c>
      <c r="U32" s="206">
        <f t="shared" si="27"/>
        <v>0</v>
      </c>
    </row>
    <row r="33" spans="4:8" s="234" customFormat="1" ht="15" customHeight="1"/>
    <row r="34" spans="4:8" s="234" customFormat="1" ht="15" customHeight="1"/>
    <row r="35" spans="4:8">
      <c r="D35" s="233"/>
      <c r="F35" s="233"/>
      <c r="H35" s="233"/>
    </row>
    <row r="36" spans="4:8">
      <c r="D36" s="414"/>
      <c r="F36" s="414"/>
      <c r="H36" s="414"/>
    </row>
    <row r="37" spans="4:8">
      <c r="D37" s="414"/>
      <c r="F37" s="414"/>
      <c r="H37" s="414"/>
    </row>
    <row r="38" spans="4:8">
      <c r="D38" s="415"/>
      <c r="F38" s="415"/>
      <c r="H38" s="415"/>
    </row>
    <row r="39" spans="4:8">
      <c r="D39" s="415"/>
      <c r="F39" s="415"/>
      <c r="H39" s="415"/>
    </row>
    <row r="40" spans="4:8">
      <c r="D40" s="415"/>
      <c r="F40" s="415"/>
      <c r="H40" s="415"/>
    </row>
  </sheetData>
  <mergeCells count="19">
    <mergeCell ref="B3:C4"/>
    <mergeCell ref="Q3:Q4"/>
    <mergeCell ref="R3:R4"/>
    <mergeCell ref="E3:E4"/>
    <mergeCell ref="O3:O4"/>
    <mergeCell ref="K3:K4"/>
    <mergeCell ref="L3:L4"/>
    <mergeCell ref="M3:M4"/>
    <mergeCell ref="N3:N4"/>
    <mergeCell ref="I3:I4"/>
    <mergeCell ref="J3:J4"/>
    <mergeCell ref="H3:H4"/>
    <mergeCell ref="D3:D4"/>
    <mergeCell ref="F3:F4"/>
    <mergeCell ref="S3:S4"/>
    <mergeCell ref="G3:G4"/>
    <mergeCell ref="P3:P4"/>
    <mergeCell ref="T3:T4"/>
    <mergeCell ref="U3:U4"/>
  </mergeCells>
  <phoneticPr fontId="27" type="noConversion"/>
  <conditionalFormatting sqref="B15:B23 B25 G3:H3 O3:S3 E3">
    <cfRule type="cellIs" dxfId="156" priority="583" operator="lessThan">
      <formula>0</formula>
    </cfRule>
  </conditionalFormatting>
  <conditionalFormatting sqref="B5:B6">
    <cfRule type="cellIs" dxfId="155" priority="587" operator="lessThan">
      <formula>0</formula>
    </cfRule>
  </conditionalFormatting>
  <conditionalFormatting sqref="B12:B13 B7:B9">
    <cfRule type="cellIs" dxfId="154" priority="586" operator="lessThan">
      <formula>0</formula>
    </cfRule>
  </conditionalFormatting>
  <conditionalFormatting sqref="B10">
    <cfRule type="cellIs" dxfId="153" priority="585" operator="lessThan">
      <formula>0</formula>
    </cfRule>
  </conditionalFormatting>
  <conditionalFormatting sqref="B14">
    <cfRule type="cellIs" dxfId="152" priority="584" operator="lessThan">
      <formula>0</formula>
    </cfRule>
  </conditionalFormatting>
  <conditionalFormatting sqref="C5 C22:C24">
    <cfRule type="cellIs" dxfId="151" priority="582" operator="lessThan">
      <formula>0</formula>
    </cfRule>
  </conditionalFormatting>
  <conditionalFormatting sqref="C7">
    <cfRule type="cellIs" dxfId="150" priority="581" operator="lessThan">
      <formula>0</formula>
    </cfRule>
  </conditionalFormatting>
  <conditionalFormatting sqref="C25:C26">
    <cfRule type="cellIs" dxfId="149" priority="578" operator="lessThan">
      <formula>0</formula>
    </cfRule>
  </conditionalFormatting>
  <conditionalFormatting sqref="C19:C21">
    <cfRule type="cellIs" dxfId="148" priority="410" operator="lessThan">
      <formula>0</formula>
    </cfRule>
  </conditionalFormatting>
  <conditionalFormatting sqref="C6">
    <cfRule type="cellIs" dxfId="147" priority="153" operator="lessThan">
      <formula>0</formula>
    </cfRule>
  </conditionalFormatting>
  <conditionalFormatting sqref="B11">
    <cfRule type="cellIs" dxfId="146" priority="152" operator="lessThan">
      <formula>0</formula>
    </cfRule>
  </conditionalFormatting>
  <conditionalFormatting sqref="B3">
    <cfRule type="cellIs" dxfId="145" priority="150" operator="lessThan">
      <formula>0</formula>
    </cfRule>
  </conditionalFormatting>
  <conditionalFormatting sqref="B24">
    <cfRule type="cellIs" dxfId="144" priority="27" operator="lessThan">
      <formula>0</formula>
    </cfRule>
  </conditionalFormatting>
  <conditionalFormatting sqref="B26">
    <cfRule type="cellIs" dxfId="143" priority="26" operator="lessThan">
      <formula>0</formula>
    </cfRule>
  </conditionalFormatting>
  <conditionalFormatting sqref="L3">
    <cfRule type="cellIs" dxfId="142" priority="24" operator="lessThan">
      <formula>0</formula>
    </cfRule>
  </conditionalFormatting>
  <conditionalFormatting sqref="K3">
    <cfRule type="cellIs" dxfId="141" priority="23" operator="lessThan">
      <formula>0</formula>
    </cfRule>
  </conditionalFormatting>
  <conditionalFormatting sqref="N3">
    <cfRule type="cellIs" dxfId="140" priority="22" operator="lessThan">
      <formula>0</formula>
    </cfRule>
  </conditionalFormatting>
  <conditionalFormatting sqref="M3">
    <cfRule type="cellIs" dxfId="139" priority="21" operator="lessThan">
      <formula>0</formula>
    </cfRule>
  </conditionalFormatting>
  <conditionalFormatting sqref="T3:U3">
    <cfRule type="cellIs" dxfId="138" priority="10" operator="lessThan">
      <formula>0</formula>
    </cfRule>
  </conditionalFormatting>
  <conditionalFormatting sqref="I3">
    <cfRule type="cellIs" dxfId="137" priority="9" operator="lessThan">
      <formula>0</formula>
    </cfRule>
  </conditionalFormatting>
  <conditionalFormatting sqref="C8:C18">
    <cfRule type="cellIs" dxfId="136" priority="8" operator="lessThan">
      <formula>0</formula>
    </cfRule>
  </conditionalFormatting>
  <conditionalFormatting sqref="J3">
    <cfRule type="cellIs" dxfId="135" priority="7" operator="lessThan">
      <formula>0</formula>
    </cfRule>
  </conditionalFormatting>
  <conditionalFormatting sqref="H3">
    <cfRule type="cellIs" dxfId="134" priority="4" operator="lessThan">
      <formula>0</formula>
    </cfRule>
  </conditionalFormatting>
  <conditionalFormatting sqref="D3:E3">
    <cfRule type="cellIs" dxfId="133" priority="2" operator="lessThan">
      <formula>0</formula>
    </cfRule>
  </conditionalFormatting>
  <conditionalFormatting sqref="F3:H3">
    <cfRule type="cellIs" dxfId="132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R17:S17 R18:T18 I22 I24 I26 I14 K24:N24 K26:N26 K7:N7 K22:N22 K14:N14 K17:N18 P24:S24 P26:T26 P7:T7 P22:T22 P14:T14 P17:Q18 O24 O26 O7 O22 O14 O17:O1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5">
    <tabColor theme="4" tint="-0.249977111117893"/>
  </sheetPr>
  <dimension ref="A3:T20"/>
  <sheetViews>
    <sheetView showGridLines="0" zoomScale="90" zoomScaleNormal="90" workbookViewId="0">
      <selection activeCell="B3" sqref="B3:C4"/>
    </sheetView>
  </sheetViews>
  <sheetFormatPr defaultRowHeight="12" outlineLevelRow="1" outlineLevelCol="1"/>
  <cols>
    <col min="1" max="1" width="1.5703125" style="195" customWidth="1"/>
    <col min="2" max="2" width="53.42578125" style="195" customWidth="1"/>
    <col min="3" max="3" width="10.7109375" style="245" hidden="1" customWidth="1" outlineLevel="1"/>
    <col min="4" max="4" width="10.28515625" style="244" customWidth="1" collapsed="1"/>
    <col min="5" max="7" width="10.28515625" style="244" customWidth="1"/>
    <col min="8" max="8" width="12.85546875" style="244" hidden="1" customWidth="1" outlineLevel="1"/>
    <col min="9" max="10" width="15.7109375" style="244" hidden="1" customWidth="1" outlineLevel="1"/>
    <col min="11" max="11" width="15.7109375" style="195" hidden="1" customWidth="1" outlineLevel="1"/>
    <col min="12" max="12" width="15.7109375" style="244" hidden="1" customWidth="1" outlineLevel="1"/>
    <col min="13" max="15" width="15.7109375" style="195" hidden="1" customWidth="1" outlineLevel="1"/>
    <col min="16" max="16" width="13.28515625" style="244" hidden="1" customWidth="1" outlineLevel="1"/>
    <col min="17" max="17" width="15.7109375" style="195" hidden="1" customWidth="1" outlineLevel="1"/>
    <col min="18" max="18" width="15.7109375" style="244" hidden="1" customWidth="1" outlineLevel="1"/>
    <col min="19" max="19" width="15.7109375" style="195" hidden="1" customWidth="1" outlineLevel="1"/>
    <col min="20" max="20" width="2.140625" style="195" customWidth="1" collapsed="1"/>
    <col min="21" max="16384" width="9.140625" style="195"/>
  </cols>
  <sheetData>
    <row r="3" spans="1:19" s="198" customFormat="1" ht="15" customHeight="1">
      <c r="A3" s="197"/>
      <c r="B3" s="475" t="s">
        <v>1275</v>
      </c>
      <c r="C3" s="476"/>
      <c r="D3" s="473" t="s">
        <v>1350</v>
      </c>
      <c r="E3" s="473" t="s">
        <v>1286</v>
      </c>
      <c r="F3" s="473" t="s">
        <v>1355</v>
      </c>
      <c r="G3" s="473" t="s">
        <v>1288</v>
      </c>
      <c r="H3" s="473" t="s">
        <v>1341</v>
      </c>
      <c r="I3" s="473">
        <v>2019</v>
      </c>
      <c r="J3" s="473" t="s">
        <v>1306</v>
      </c>
      <c r="K3" s="473" t="s">
        <v>1307</v>
      </c>
      <c r="L3" s="473" t="s">
        <v>1308</v>
      </c>
      <c r="M3" s="473" t="s">
        <v>1309</v>
      </c>
      <c r="N3" s="473" t="s">
        <v>1287</v>
      </c>
      <c r="O3" s="473" t="s">
        <v>1289</v>
      </c>
      <c r="P3" s="473" t="s">
        <v>1283</v>
      </c>
      <c r="Q3" s="473" t="s">
        <v>1284</v>
      </c>
      <c r="R3" s="473">
        <v>2018</v>
      </c>
      <c r="S3" s="473">
        <v>2017</v>
      </c>
    </row>
    <row r="4" spans="1:19" s="198" customFormat="1" ht="15" customHeight="1">
      <c r="A4" s="230"/>
      <c r="B4" s="477"/>
      <c r="C4" s="478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</row>
    <row r="5" spans="1:19" ht="20.100000000000001" customHeight="1">
      <c r="B5" s="242" t="s">
        <v>1290</v>
      </c>
      <c r="C5" s="459"/>
      <c r="D5" s="212">
        <f>VLOOKUP($B5,DRE!$B:$XFD,MATCH(D$3,DRE!$B$3:$XFD$3,0),FALSE)</f>
        <v>228564000</v>
      </c>
      <c r="E5" s="212">
        <f>VLOOKUP($B5,DRE!$B:$XFD,MATCH(E$3,DRE!$B$3:$XFD$3,0),FALSE)</f>
        <v>66631000</v>
      </c>
      <c r="F5" s="212">
        <f>VLOOKUP($B5,DRE!$B:$XFD,MATCH(F$3,DRE!$B$3:$XFD$3,0),FALSE)</f>
        <v>265894000</v>
      </c>
      <c r="G5" s="212">
        <f>VLOOKUP($B5,DRE!$B:$XFD,MATCH(G$3,DRE!$B$3:$XFD$3,0),FALSE)</f>
        <v>88285000</v>
      </c>
      <c r="H5" s="212">
        <f>VLOOKUP($B5,DRE!$B:$XFD,MATCH(H$3,DRE!$B$3:$XFD$3,0),FALSE)</f>
        <v>37330000</v>
      </c>
      <c r="I5" s="212">
        <f>VLOOKUP($B5,DRE!$B:$XFD,MATCH(I$3,DRE!$B$3:$XFD$3,0),FALSE)</f>
        <v>387173000</v>
      </c>
      <c r="J5" s="212">
        <f>VLOOKUP($B5,DRE!$B:$XFD,MATCH(J$3,DRE!$B$3:$XFD$3,0),FALSE)</f>
        <v>188325000</v>
      </c>
      <c r="K5" s="212">
        <f>VLOOKUP($B5,DRE!$B:$XFD,MATCH(K$3,DRE!$B$3:$XFD$3,0),FALSE)</f>
        <v>20586000</v>
      </c>
      <c r="L5" s="212">
        <f>VLOOKUP($B5,DRE!$B:$XFD,MATCH(L$3,DRE!$B$3:$XFD$3,0),FALSE)</f>
        <v>276610000</v>
      </c>
      <c r="M5" s="212">
        <f>VLOOKUP($B5,DRE!$B:$XFD,MATCH(M$3,DRE!$B$3:$XFD$3,0),FALSE)</f>
        <v>90753000</v>
      </c>
      <c r="N5" s="212">
        <f>VLOOKUP($B5,DRE!$B:$XFD,MATCH(N$3,DRE!$B$3:$XFD$3,0),FALSE)</f>
        <v>35433000</v>
      </c>
      <c r="O5" s="212">
        <f>VLOOKUP($B5,DRE!$B:$XFD,MATCH(O$3,DRE!$B$3:$XFD$3,0),FALSE)</f>
        <v>70166000</v>
      </c>
      <c r="P5" s="212">
        <f>VLOOKUP($B5,DRE!$B:$XFD,MATCH(P$3,DRE!$B$3:$XFD$3,0),FALSE)</f>
        <v>21654000</v>
      </c>
      <c r="Q5" s="212">
        <f>VLOOKUP($B5,DRE!$B:$XFD,MATCH(Q$3,DRE!$B$3:$XFD$3,0),FALSE)</f>
        <v>34734000</v>
      </c>
      <c r="R5" s="212">
        <f>VLOOKUP($B5,DRE!$B:$XFD,MATCH(R$3,DRE!$B$3:$XFD$3,0),FALSE)</f>
        <v>39521000</v>
      </c>
      <c r="S5" s="212">
        <f>VLOOKUP($B5,DRE!$B:$XFD,MATCH(S$3,DRE!$B$3:$XFD$3,0),FALSE)</f>
        <v>46251000</v>
      </c>
    </row>
    <row r="6" spans="1:19" ht="20.100000000000001" hidden="1" customHeight="1" outlineLevel="1">
      <c r="B6" s="235" t="s">
        <v>1224</v>
      </c>
      <c r="C6" s="459"/>
      <c r="D6" s="247">
        <f t="shared" ref="D6" si="0">SUM(D7:D8)</f>
        <v>0</v>
      </c>
      <c r="E6" s="247">
        <f>SUM(E7:E8)</f>
        <v>0</v>
      </c>
      <c r="F6" s="247">
        <f t="shared" ref="F6" si="1">SUM(F7:F8)</f>
        <v>0</v>
      </c>
      <c r="G6" s="247">
        <f>SUM(G7:G8)</f>
        <v>0</v>
      </c>
      <c r="H6" s="247">
        <f>SUM(H7:H8)</f>
        <v>0</v>
      </c>
      <c r="I6" s="247">
        <f>SUM(I7:I8)</f>
        <v>0</v>
      </c>
      <c r="J6" s="247">
        <f>SUM(J7:J8)</f>
        <v>0</v>
      </c>
      <c r="K6" s="247">
        <f t="shared" ref="K6:S6" si="2">SUM(K7:K8)</f>
        <v>-162926000</v>
      </c>
      <c r="L6" s="247">
        <f t="shared" si="2"/>
        <v>0</v>
      </c>
      <c r="M6" s="247">
        <f t="shared" si="2"/>
        <v>-292913000</v>
      </c>
      <c r="N6" s="247">
        <f t="shared" si="2"/>
        <v>-77434000</v>
      </c>
      <c r="O6" s="247">
        <f t="shared" si="2"/>
        <v>-129986000</v>
      </c>
      <c r="P6" s="247">
        <f t="shared" si="2"/>
        <v>0</v>
      </c>
      <c r="Q6" s="247">
        <f t="shared" si="2"/>
        <v>-52552000</v>
      </c>
      <c r="R6" s="247">
        <f t="shared" si="2"/>
        <v>-397330000</v>
      </c>
      <c r="S6" s="247">
        <f t="shared" si="2"/>
        <v>5168000</v>
      </c>
    </row>
    <row r="7" spans="1:19" ht="20.100000000000001" hidden="1" customHeight="1" outlineLevel="1">
      <c r="B7" s="248" t="s">
        <v>1148</v>
      </c>
      <c r="C7" s="459"/>
      <c r="D7" s="239">
        <v>0</v>
      </c>
      <c r="E7" s="239">
        <v>0</v>
      </c>
      <c r="F7" s="239">
        <v>0</v>
      </c>
      <c r="G7" s="239">
        <v>0</v>
      </c>
      <c r="H7" s="239">
        <v>0</v>
      </c>
      <c r="I7" s="239">
        <v>0</v>
      </c>
      <c r="J7" s="239">
        <v>0</v>
      </c>
      <c r="K7" s="239">
        <v>-280430000</v>
      </c>
      <c r="L7" s="239">
        <v>0</v>
      </c>
      <c r="M7" s="239">
        <v>-497454000</v>
      </c>
      <c r="N7" s="239">
        <v>-129284000</v>
      </c>
      <c r="O7" s="239">
        <v>-217024000</v>
      </c>
      <c r="P7" s="239">
        <v>0</v>
      </c>
      <c r="Q7" s="239">
        <v>-87740000</v>
      </c>
      <c r="R7" s="239">
        <v>-663377000</v>
      </c>
      <c r="S7" s="239">
        <v>8629000</v>
      </c>
    </row>
    <row r="8" spans="1:19" ht="20.100000000000001" hidden="1" customHeight="1" outlineLevel="1">
      <c r="B8" s="248" t="s">
        <v>1149</v>
      </c>
      <c r="C8" s="459"/>
      <c r="D8" s="239">
        <v>0</v>
      </c>
      <c r="E8" s="239">
        <v>0</v>
      </c>
      <c r="F8" s="239">
        <v>0</v>
      </c>
      <c r="G8" s="239">
        <v>0</v>
      </c>
      <c r="H8" s="239">
        <v>0</v>
      </c>
      <c r="I8" s="239">
        <v>0</v>
      </c>
      <c r="J8" s="239">
        <v>0</v>
      </c>
      <c r="K8" s="239">
        <v>117504000</v>
      </c>
      <c r="L8" s="239">
        <v>0</v>
      </c>
      <c r="M8" s="239">
        <v>204541000</v>
      </c>
      <c r="N8" s="239">
        <v>51850000</v>
      </c>
      <c r="O8" s="239">
        <v>87038000</v>
      </c>
      <c r="P8" s="239">
        <v>0</v>
      </c>
      <c r="Q8" s="239">
        <v>35188000</v>
      </c>
      <c r="R8" s="239">
        <v>266047000</v>
      </c>
      <c r="S8" s="239">
        <v>-3461000</v>
      </c>
    </row>
    <row r="9" spans="1:19" ht="20.100000000000001" customHeight="1" collapsed="1">
      <c r="B9" s="235" t="s">
        <v>1358</v>
      </c>
      <c r="C9" s="459"/>
      <c r="D9" s="247">
        <f>D10</f>
        <v>1094000</v>
      </c>
      <c r="E9" s="247">
        <f>E10</f>
        <v>266000</v>
      </c>
      <c r="F9" s="247">
        <f>F10</f>
        <v>-1685000</v>
      </c>
      <c r="G9" s="247">
        <f>G10</f>
        <v>152000</v>
      </c>
      <c r="H9" s="247">
        <f>H10</f>
        <v>-2779000</v>
      </c>
      <c r="I9" s="247">
        <f t="shared" ref="I9:S9" si="3">I10</f>
        <v>-1711000</v>
      </c>
      <c r="J9" s="247">
        <f t="shared" si="3"/>
        <v>644000</v>
      </c>
      <c r="K9" s="247">
        <f t="shared" si="3"/>
        <v>294000</v>
      </c>
      <c r="L9" s="247">
        <f t="shared" si="3"/>
        <v>796000</v>
      </c>
      <c r="M9" s="247">
        <f t="shared" si="3"/>
        <v>82165000</v>
      </c>
      <c r="N9" s="247">
        <f t="shared" si="3"/>
        <v>81830000</v>
      </c>
      <c r="O9" s="247">
        <f t="shared" si="3"/>
        <v>81871000</v>
      </c>
      <c r="P9" s="247">
        <f>P10</f>
        <v>-115000</v>
      </c>
      <c r="Q9" s="247">
        <f t="shared" si="3"/>
        <v>42000</v>
      </c>
      <c r="R9" s="247">
        <f t="shared" si="3"/>
        <v>83470000</v>
      </c>
      <c r="S9" s="247">
        <f t="shared" si="3"/>
        <v>316000</v>
      </c>
    </row>
    <row r="10" spans="1:19" ht="20.100000000000001" customHeight="1">
      <c r="B10" s="248" t="s">
        <v>1150</v>
      </c>
      <c r="C10" s="459"/>
      <c r="D10" s="239">
        <v>1094000</v>
      </c>
      <c r="E10" s="239">
        <v>266000</v>
      </c>
      <c r="F10" s="239">
        <v>-1685000</v>
      </c>
      <c r="G10" s="239">
        <v>152000</v>
      </c>
      <c r="H10" s="239">
        <v>-2779000</v>
      </c>
      <c r="I10" s="239">
        <v>-1711000</v>
      </c>
      <c r="J10" s="239">
        <v>644000</v>
      </c>
      <c r="K10" s="239">
        <v>294000</v>
      </c>
      <c r="L10" s="239">
        <v>796000</v>
      </c>
      <c r="M10" s="239">
        <v>82165000</v>
      </c>
      <c r="N10" s="239">
        <v>81830000</v>
      </c>
      <c r="O10" s="239">
        <v>81871000</v>
      </c>
      <c r="P10" s="239">
        <v>-115000</v>
      </c>
      <c r="Q10" s="239">
        <v>42000</v>
      </c>
      <c r="R10" s="239">
        <v>83470000</v>
      </c>
      <c r="S10" s="239">
        <v>316000</v>
      </c>
    </row>
    <row r="11" spans="1:19" ht="20.100000000000001" customHeight="1">
      <c r="B11" s="235" t="s">
        <v>740</v>
      </c>
      <c r="C11" s="459"/>
      <c r="D11" s="247">
        <f>SUM(D12:D13)</f>
        <v>-52824000</v>
      </c>
      <c r="E11" s="247">
        <f>SUM(E12:E13)</f>
        <v>-281000</v>
      </c>
      <c r="F11" s="247">
        <f>SUM(F12:F13)</f>
        <v>-52798000</v>
      </c>
      <c r="G11" s="247">
        <f>SUM(G12:G13)</f>
        <v>-1630000</v>
      </c>
      <c r="H11" s="247">
        <f>SUM(H12:H13)</f>
        <v>26000</v>
      </c>
      <c r="I11" s="247">
        <f t="shared" ref="I11" si="4">SUM(I12:I13)</f>
        <v>272163000</v>
      </c>
      <c r="J11" s="247">
        <f t="shared" ref="J11:Q11" si="5">SUM(J12:J13)</f>
        <v>103800000</v>
      </c>
      <c r="K11" s="247">
        <f t="shared" si="5"/>
        <v>8127000</v>
      </c>
      <c r="L11" s="247">
        <f t="shared" si="5"/>
        <v>102170000</v>
      </c>
      <c r="M11" s="247">
        <f t="shared" si="5"/>
        <v>-200086000</v>
      </c>
      <c r="N11" s="247">
        <f t="shared" si="5"/>
        <v>-212335000</v>
      </c>
      <c r="O11" s="247">
        <f t="shared" si="5"/>
        <v>-208213000</v>
      </c>
      <c r="P11" s="247">
        <f>SUM(P12:P13)</f>
        <v>-1349000</v>
      </c>
      <c r="Q11" s="247">
        <f t="shared" si="5"/>
        <v>4122000</v>
      </c>
      <c r="R11" s="247">
        <f t="shared" ref="R11:S11" si="6">SUM(R12:R13)</f>
        <v>-214438000</v>
      </c>
      <c r="S11" s="247">
        <f t="shared" si="6"/>
        <v>336000</v>
      </c>
    </row>
    <row r="12" spans="1:19" ht="20.100000000000001" customHeight="1">
      <c r="B12" s="248" t="s">
        <v>1359</v>
      </c>
      <c r="C12" s="459" t="s">
        <v>1151</v>
      </c>
      <c r="D12" s="239">
        <v>-52595000</v>
      </c>
      <c r="E12" s="239">
        <v>0</v>
      </c>
      <c r="F12" s="239">
        <v>-52595000</v>
      </c>
      <c r="G12" s="239">
        <v>-953000</v>
      </c>
      <c r="H12" s="239">
        <v>0</v>
      </c>
      <c r="I12" s="239">
        <v>267404000</v>
      </c>
      <c r="J12" s="239">
        <v>98385000</v>
      </c>
      <c r="K12" s="239">
        <v>0</v>
      </c>
      <c r="L12" s="239">
        <v>97432000</v>
      </c>
      <c r="M12" s="239">
        <v>-155695000</v>
      </c>
      <c r="N12" s="239">
        <v>-159817000</v>
      </c>
      <c r="O12" s="239">
        <v>-155695000</v>
      </c>
      <c r="P12" s="239">
        <v>-953000</v>
      </c>
      <c r="Q12" s="239">
        <v>4122000</v>
      </c>
      <c r="R12" s="239">
        <v>-166021000</v>
      </c>
      <c r="S12" s="239">
        <v>336000</v>
      </c>
    </row>
    <row r="13" spans="1:19" ht="20.100000000000001" customHeight="1">
      <c r="B13" s="248" t="s">
        <v>1232</v>
      </c>
      <c r="C13" s="459"/>
      <c r="D13" s="239">
        <v>-229000</v>
      </c>
      <c r="E13" s="239">
        <v>-281000</v>
      </c>
      <c r="F13" s="239">
        <v>-203000</v>
      </c>
      <c r="G13" s="239">
        <v>-677000</v>
      </c>
      <c r="H13" s="239">
        <v>26000</v>
      </c>
      <c r="I13" s="239">
        <v>4759000</v>
      </c>
      <c r="J13" s="239">
        <v>5415000</v>
      </c>
      <c r="K13" s="239">
        <v>8127000</v>
      </c>
      <c r="L13" s="239">
        <v>4738000</v>
      </c>
      <c r="M13" s="239">
        <v>-44391000</v>
      </c>
      <c r="N13" s="239">
        <v>-52518000</v>
      </c>
      <c r="O13" s="239">
        <v>-52518000</v>
      </c>
      <c r="P13" s="239">
        <v>-396000</v>
      </c>
      <c r="Q13" s="239">
        <v>0</v>
      </c>
      <c r="R13" s="239">
        <v>-48417000</v>
      </c>
      <c r="S13" s="239">
        <v>0</v>
      </c>
    </row>
    <row r="14" spans="1:19" ht="20.100000000000001" customHeight="1">
      <c r="B14" s="332" t="s">
        <v>1344</v>
      </c>
      <c r="C14" s="459"/>
      <c r="D14" s="338">
        <f t="shared" ref="D14:I14" si="7">D5+D6+D9+D11</f>
        <v>176834000</v>
      </c>
      <c r="E14" s="338">
        <f t="shared" si="7"/>
        <v>66616000</v>
      </c>
      <c r="F14" s="338">
        <f t="shared" si="7"/>
        <v>211411000</v>
      </c>
      <c r="G14" s="338">
        <f t="shared" si="7"/>
        <v>86807000</v>
      </c>
      <c r="H14" s="338">
        <f t="shared" si="7"/>
        <v>34577000</v>
      </c>
      <c r="I14" s="338">
        <f t="shared" si="7"/>
        <v>657625000</v>
      </c>
      <c r="J14" s="338">
        <f t="shared" ref="J14:Q14" si="8">J5+J6+J9+J11</f>
        <v>292769000</v>
      </c>
      <c r="K14" s="338">
        <f t="shared" si="8"/>
        <v>-133919000</v>
      </c>
      <c r="L14" s="338">
        <f t="shared" si="8"/>
        <v>379576000</v>
      </c>
      <c r="M14" s="338">
        <f t="shared" si="8"/>
        <v>-320081000</v>
      </c>
      <c r="N14" s="338">
        <f t="shared" si="8"/>
        <v>-172506000</v>
      </c>
      <c r="O14" s="338">
        <f t="shared" si="8"/>
        <v>-186162000</v>
      </c>
      <c r="P14" s="338">
        <f>P5+P6+P9+P11</f>
        <v>20190000</v>
      </c>
      <c r="Q14" s="338">
        <f t="shared" si="8"/>
        <v>-13654000</v>
      </c>
      <c r="R14" s="338">
        <f t="shared" ref="R14:S14" si="9">R5+R6+R9+R11</f>
        <v>-488777000</v>
      </c>
      <c r="S14" s="338">
        <f t="shared" si="9"/>
        <v>52071000</v>
      </c>
    </row>
    <row r="15" spans="1:19" ht="15" customHeight="1">
      <c r="B15" s="339" t="s">
        <v>345</v>
      </c>
      <c r="C15" s="340"/>
      <c r="D15" s="341"/>
      <c r="E15" s="341"/>
      <c r="F15" s="341"/>
      <c r="G15" s="341"/>
      <c r="H15" s="341"/>
      <c r="I15" s="341"/>
      <c r="J15" s="341"/>
      <c r="K15" s="342"/>
      <c r="L15" s="341"/>
      <c r="M15" s="342"/>
      <c r="N15" s="342"/>
      <c r="O15" s="342"/>
      <c r="P15" s="341"/>
      <c r="Q15" s="342"/>
      <c r="R15" s="341"/>
      <c r="S15" s="342"/>
    </row>
    <row r="16" spans="1:19" ht="15" customHeight="1">
      <c r="D16" s="246"/>
      <c r="E16" s="246"/>
      <c r="F16" s="246"/>
      <c r="G16" s="246"/>
      <c r="H16" s="246"/>
      <c r="I16" s="246"/>
      <c r="J16" s="246"/>
      <c r="L16" s="246"/>
      <c r="P16" s="246"/>
      <c r="R16" s="246"/>
    </row>
    <row r="20" spans="4:18">
      <c r="D20" s="246"/>
      <c r="E20" s="246"/>
      <c r="F20" s="246"/>
      <c r="G20" s="246"/>
      <c r="H20" s="246"/>
      <c r="I20" s="246"/>
      <c r="J20" s="246"/>
      <c r="L20" s="246"/>
      <c r="P20" s="246"/>
      <c r="R20" s="246"/>
    </row>
  </sheetData>
  <mergeCells count="17">
    <mergeCell ref="B3:C4"/>
    <mergeCell ref="E3:E4"/>
    <mergeCell ref="N3:N4"/>
    <mergeCell ref="P3:P4"/>
    <mergeCell ref="Q3:Q4"/>
    <mergeCell ref="J3:J4"/>
    <mergeCell ref="K3:K4"/>
    <mergeCell ref="L3:L4"/>
    <mergeCell ref="M3:M4"/>
    <mergeCell ref="G3:G4"/>
    <mergeCell ref="O3:O4"/>
    <mergeCell ref="I3:I4"/>
    <mergeCell ref="H3:H4"/>
    <mergeCell ref="D3:D4"/>
    <mergeCell ref="F3:F4"/>
    <mergeCell ref="R3:R4"/>
    <mergeCell ref="S3:S4"/>
  </mergeCells>
  <phoneticPr fontId="2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Q9:R9 Q11:R11 I11:M11 I9:M9 P9 P11 O11 O9 N11 N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7">
    <tabColor theme="0"/>
  </sheetPr>
  <dimension ref="D3:P22"/>
  <sheetViews>
    <sheetView showGridLines="0" topLeftCell="B1" zoomScaleNormal="100" workbookViewId="0">
      <selection activeCell="I30" sqref="I30"/>
    </sheetView>
  </sheetViews>
  <sheetFormatPr defaultRowHeight="12.75"/>
  <cols>
    <col min="4" max="4" width="16.85546875" style="146" customWidth="1"/>
    <col min="5" max="5" width="36.42578125" style="146" bestFit="1" customWidth="1"/>
    <col min="6" max="6" width="12.85546875" style="146" customWidth="1"/>
    <col min="7" max="7" width="15.7109375" style="93" bestFit="1" customWidth="1"/>
    <col min="8" max="8" width="16.85546875" style="93" bestFit="1" customWidth="1"/>
    <col min="9" max="9" width="15" style="127" bestFit="1" customWidth="1"/>
    <col min="10" max="10" width="16.7109375" style="137" customWidth="1"/>
    <col min="11" max="11" width="13.28515625" style="137" bestFit="1" customWidth="1"/>
    <col min="12" max="13" width="9" style="137" customWidth="1"/>
    <col min="14" max="15" width="13.28515625" style="137" bestFit="1" customWidth="1"/>
    <col min="16" max="16" width="9" style="137" customWidth="1"/>
    <col min="260" max="260" width="16.85546875" customWidth="1"/>
    <col min="261" max="261" width="36.42578125" bestFit="1" customWidth="1"/>
    <col min="262" max="262" width="12.85546875" customWidth="1"/>
    <col min="263" max="263" width="15.7109375" bestFit="1" customWidth="1"/>
    <col min="264" max="264" width="16.85546875" bestFit="1" customWidth="1"/>
    <col min="265" max="265" width="15" bestFit="1" customWidth="1"/>
    <col min="266" max="266" width="16.7109375" customWidth="1"/>
    <col min="267" max="267" width="13.28515625" bestFit="1" customWidth="1"/>
    <col min="268" max="269" width="9" customWidth="1"/>
    <col min="270" max="271" width="13.28515625" bestFit="1" customWidth="1"/>
    <col min="272" max="272" width="9" customWidth="1"/>
    <col min="516" max="516" width="16.85546875" customWidth="1"/>
    <col min="517" max="517" width="36.42578125" bestFit="1" customWidth="1"/>
    <col min="518" max="518" width="12.85546875" customWidth="1"/>
    <col min="519" max="519" width="15.7109375" bestFit="1" customWidth="1"/>
    <col min="520" max="520" width="16.85546875" bestFit="1" customWidth="1"/>
    <col min="521" max="521" width="15" bestFit="1" customWidth="1"/>
    <col min="522" max="522" width="16.7109375" customWidth="1"/>
    <col min="523" max="523" width="13.28515625" bestFit="1" customWidth="1"/>
    <col min="524" max="525" width="9" customWidth="1"/>
    <col min="526" max="527" width="13.28515625" bestFit="1" customWidth="1"/>
    <col min="528" max="528" width="9" customWidth="1"/>
    <col min="772" max="772" width="16.85546875" customWidth="1"/>
    <col min="773" max="773" width="36.42578125" bestFit="1" customWidth="1"/>
    <col min="774" max="774" width="12.85546875" customWidth="1"/>
    <col min="775" max="775" width="15.7109375" bestFit="1" customWidth="1"/>
    <col min="776" max="776" width="16.85546875" bestFit="1" customWidth="1"/>
    <col min="777" max="777" width="15" bestFit="1" customWidth="1"/>
    <col min="778" max="778" width="16.7109375" customWidth="1"/>
    <col min="779" max="779" width="13.28515625" bestFit="1" customWidth="1"/>
    <col min="780" max="781" width="9" customWidth="1"/>
    <col min="782" max="783" width="13.28515625" bestFit="1" customWidth="1"/>
    <col min="784" max="784" width="9" customWidth="1"/>
    <col min="1028" max="1028" width="16.85546875" customWidth="1"/>
    <col min="1029" max="1029" width="36.42578125" bestFit="1" customWidth="1"/>
    <col min="1030" max="1030" width="12.85546875" customWidth="1"/>
    <col min="1031" max="1031" width="15.7109375" bestFit="1" customWidth="1"/>
    <col min="1032" max="1032" width="16.85546875" bestFit="1" customWidth="1"/>
    <col min="1033" max="1033" width="15" bestFit="1" customWidth="1"/>
    <col min="1034" max="1034" width="16.7109375" customWidth="1"/>
    <col min="1035" max="1035" width="13.28515625" bestFit="1" customWidth="1"/>
    <col min="1036" max="1037" width="9" customWidth="1"/>
    <col min="1038" max="1039" width="13.28515625" bestFit="1" customWidth="1"/>
    <col min="1040" max="1040" width="9" customWidth="1"/>
    <col min="1284" max="1284" width="16.85546875" customWidth="1"/>
    <col min="1285" max="1285" width="36.42578125" bestFit="1" customWidth="1"/>
    <col min="1286" max="1286" width="12.85546875" customWidth="1"/>
    <col min="1287" max="1287" width="15.7109375" bestFit="1" customWidth="1"/>
    <col min="1288" max="1288" width="16.85546875" bestFit="1" customWidth="1"/>
    <col min="1289" max="1289" width="15" bestFit="1" customWidth="1"/>
    <col min="1290" max="1290" width="16.7109375" customWidth="1"/>
    <col min="1291" max="1291" width="13.28515625" bestFit="1" customWidth="1"/>
    <col min="1292" max="1293" width="9" customWidth="1"/>
    <col min="1294" max="1295" width="13.28515625" bestFit="1" customWidth="1"/>
    <col min="1296" max="1296" width="9" customWidth="1"/>
    <col min="1540" max="1540" width="16.85546875" customWidth="1"/>
    <col min="1541" max="1541" width="36.42578125" bestFit="1" customWidth="1"/>
    <col min="1542" max="1542" width="12.85546875" customWidth="1"/>
    <col min="1543" max="1543" width="15.7109375" bestFit="1" customWidth="1"/>
    <col min="1544" max="1544" width="16.85546875" bestFit="1" customWidth="1"/>
    <col min="1545" max="1545" width="15" bestFit="1" customWidth="1"/>
    <col min="1546" max="1546" width="16.7109375" customWidth="1"/>
    <col min="1547" max="1547" width="13.28515625" bestFit="1" customWidth="1"/>
    <col min="1548" max="1549" width="9" customWidth="1"/>
    <col min="1550" max="1551" width="13.28515625" bestFit="1" customWidth="1"/>
    <col min="1552" max="1552" width="9" customWidth="1"/>
    <col min="1796" max="1796" width="16.85546875" customWidth="1"/>
    <col min="1797" max="1797" width="36.42578125" bestFit="1" customWidth="1"/>
    <col min="1798" max="1798" width="12.85546875" customWidth="1"/>
    <col min="1799" max="1799" width="15.7109375" bestFit="1" customWidth="1"/>
    <col min="1800" max="1800" width="16.85546875" bestFit="1" customWidth="1"/>
    <col min="1801" max="1801" width="15" bestFit="1" customWidth="1"/>
    <col min="1802" max="1802" width="16.7109375" customWidth="1"/>
    <col min="1803" max="1803" width="13.28515625" bestFit="1" customWidth="1"/>
    <col min="1804" max="1805" width="9" customWidth="1"/>
    <col min="1806" max="1807" width="13.28515625" bestFit="1" customWidth="1"/>
    <col min="1808" max="1808" width="9" customWidth="1"/>
    <col min="2052" max="2052" width="16.85546875" customWidth="1"/>
    <col min="2053" max="2053" width="36.42578125" bestFit="1" customWidth="1"/>
    <col min="2054" max="2054" width="12.85546875" customWidth="1"/>
    <col min="2055" max="2055" width="15.7109375" bestFit="1" customWidth="1"/>
    <col min="2056" max="2056" width="16.85546875" bestFit="1" customWidth="1"/>
    <col min="2057" max="2057" width="15" bestFit="1" customWidth="1"/>
    <col min="2058" max="2058" width="16.7109375" customWidth="1"/>
    <col min="2059" max="2059" width="13.28515625" bestFit="1" customWidth="1"/>
    <col min="2060" max="2061" width="9" customWidth="1"/>
    <col min="2062" max="2063" width="13.28515625" bestFit="1" customWidth="1"/>
    <col min="2064" max="2064" width="9" customWidth="1"/>
    <col min="2308" max="2308" width="16.85546875" customWidth="1"/>
    <col min="2309" max="2309" width="36.42578125" bestFit="1" customWidth="1"/>
    <col min="2310" max="2310" width="12.85546875" customWidth="1"/>
    <col min="2311" max="2311" width="15.7109375" bestFit="1" customWidth="1"/>
    <col min="2312" max="2312" width="16.85546875" bestFit="1" customWidth="1"/>
    <col min="2313" max="2313" width="15" bestFit="1" customWidth="1"/>
    <col min="2314" max="2314" width="16.7109375" customWidth="1"/>
    <col min="2315" max="2315" width="13.28515625" bestFit="1" customWidth="1"/>
    <col min="2316" max="2317" width="9" customWidth="1"/>
    <col min="2318" max="2319" width="13.28515625" bestFit="1" customWidth="1"/>
    <col min="2320" max="2320" width="9" customWidth="1"/>
    <col min="2564" max="2564" width="16.85546875" customWidth="1"/>
    <col min="2565" max="2565" width="36.42578125" bestFit="1" customWidth="1"/>
    <col min="2566" max="2566" width="12.85546875" customWidth="1"/>
    <col min="2567" max="2567" width="15.7109375" bestFit="1" customWidth="1"/>
    <col min="2568" max="2568" width="16.85546875" bestFit="1" customWidth="1"/>
    <col min="2569" max="2569" width="15" bestFit="1" customWidth="1"/>
    <col min="2570" max="2570" width="16.7109375" customWidth="1"/>
    <col min="2571" max="2571" width="13.28515625" bestFit="1" customWidth="1"/>
    <col min="2572" max="2573" width="9" customWidth="1"/>
    <col min="2574" max="2575" width="13.28515625" bestFit="1" customWidth="1"/>
    <col min="2576" max="2576" width="9" customWidth="1"/>
    <col min="2820" max="2820" width="16.85546875" customWidth="1"/>
    <col min="2821" max="2821" width="36.42578125" bestFit="1" customWidth="1"/>
    <col min="2822" max="2822" width="12.85546875" customWidth="1"/>
    <col min="2823" max="2823" width="15.7109375" bestFit="1" customWidth="1"/>
    <col min="2824" max="2824" width="16.85546875" bestFit="1" customWidth="1"/>
    <col min="2825" max="2825" width="15" bestFit="1" customWidth="1"/>
    <col min="2826" max="2826" width="16.7109375" customWidth="1"/>
    <col min="2827" max="2827" width="13.28515625" bestFit="1" customWidth="1"/>
    <col min="2828" max="2829" width="9" customWidth="1"/>
    <col min="2830" max="2831" width="13.28515625" bestFit="1" customWidth="1"/>
    <col min="2832" max="2832" width="9" customWidth="1"/>
    <col min="3076" max="3076" width="16.85546875" customWidth="1"/>
    <col min="3077" max="3077" width="36.42578125" bestFit="1" customWidth="1"/>
    <col min="3078" max="3078" width="12.85546875" customWidth="1"/>
    <col min="3079" max="3079" width="15.7109375" bestFit="1" customWidth="1"/>
    <col min="3080" max="3080" width="16.85546875" bestFit="1" customWidth="1"/>
    <col min="3081" max="3081" width="15" bestFit="1" customWidth="1"/>
    <col min="3082" max="3082" width="16.7109375" customWidth="1"/>
    <col min="3083" max="3083" width="13.28515625" bestFit="1" customWidth="1"/>
    <col min="3084" max="3085" width="9" customWidth="1"/>
    <col min="3086" max="3087" width="13.28515625" bestFit="1" customWidth="1"/>
    <col min="3088" max="3088" width="9" customWidth="1"/>
    <col min="3332" max="3332" width="16.85546875" customWidth="1"/>
    <col min="3333" max="3333" width="36.42578125" bestFit="1" customWidth="1"/>
    <col min="3334" max="3334" width="12.85546875" customWidth="1"/>
    <col min="3335" max="3335" width="15.7109375" bestFit="1" customWidth="1"/>
    <col min="3336" max="3336" width="16.85546875" bestFit="1" customWidth="1"/>
    <col min="3337" max="3337" width="15" bestFit="1" customWidth="1"/>
    <col min="3338" max="3338" width="16.7109375" customWidth="1"/>
    <col min="3339" max="3339" width="13.28515625" bestFit="1" customWidth="1"/>
    <col min="3340" max="3341" width="9" customWidth="1"/>
    <col min="3342" max="3343" width="13.28515625" bestFit="1" customWidth="1"/>
    <col min="3344" max="3344" width="9" customWidth="1"/>
    <col min="3588" max="3588" width="16.85546875" customWidth="1"/>
    <col min="3589" max="3589" width="36.42578125" bestFit="1" customWidth="1"/>
    <col min="3590" max="3590" width="12.85546875" customWidth="1"/>
    <col min="3591" max="3591" width="15.7109375" bestFit="1" customWidth="1"/>
    <col min="3592" max="3592" width="16.85546875" bestFit="1" customWidth="1"/>
    <col min="3593" max="3593" width="15" bestFit="1" customWidth="1"/>
    <col min="3594" max="3594" width="16.7109375" customWidth="1"/>
    <col min="3595" max="3595" width="13.28515625" bestFit="1" customWidth="1"/>
    <col min="3596" max="3597" width="9" customWidth="1"/>
    <col min="3598" max="3599" width="13.28515625" bestFit="1" customWidth="1"/>
    <col min="3600" max="3600" width="9" customWidth="1"/>
    <col min="3844" max="3844" width="16.85546875" customWidth="1"/>
    <col min="3845" max="3845" width="36.42578125" bestFit="1" customWidth="1"/>
    <col min="3846" max="3846" width="12.85546875" customWidth="1"/>
    <col min="3847" max="3847" width="15.7109375" bestFit="1" customWidth="1"/>
    <col min="3848" max="3848" width="16.85546875" bestFit="1" customWidth="1"/>
    <col min="3849" max="3849" width="15" bestFit="1" customWidth="1"/>
    <col min="3850" max="3850" width="16.7109375" customWidth="1"/>
    <col min="3851" max="3851" width="13.28515625" bestFit="1" customWidth="1"/>
    <col min="3852" max="3853" width="9" customWidth="1"/>
    <col min="3854" max="3855" width="13.28515625" bestFit="1" customWidth="1"/>
    <col min="3856" max="3856" width="9" customWidth="1"/>
    <col min="4100" max="4100" width="16.85546875" customWidth="1"/>
    <col min="4101" max="4101" width="36.42578125" bestFit="1" customWidth="1"/>
    <col min="4102" max="4102" width="12.85546875" customWidth="1"/>
    <col min="4103" max="4103" width="15.7109375" bestFit="1" customWidth="1"/>
    <col min="4104" max="4104" width="16.85546875" bestFit="1" customWidth="1"/>
    <col min="4105" max="4105" width="15" bestFit="1" customWidth="1"/>
    <col min="4106" max="4106" width="16.7109375" customWidth="1"/>
    <col min="4107" max="4107" width="13.28515625" bestFit="1" customWidth="1"/>
    <col min="4108" max="4109" width="9" customWidth="1"/>
    <col min="4110" max="4111" width="13.28515625" bestFit="1" customWidth="1"/>
    <col min="4112" max="4112" width="9" customWidth="1"/>
    <col min="4356" max="4356" width="16.85546875" customWidth="1"/>
    <col min="4357" max="4357" width="36.42578125" bestFit="1" customWidth="1"/>
    <col min="4358" max="4358" width="12.85546875" customWidth="1"/>
    <col min="4359" max="4359" width="15.7109375" bestFit="1" customWidth="1"/>
    <col min="4360" max="4360" width="16.85546875" bestFit="1" customWidth="1"/>
    <col min="4361" max="4361" width="15" bestFit="1" customWidth="1"/>
    <col min="4362" max="4362" width="16.7109375" customWidth="1"/>
    <col min="4363" max="4363" width="13.28515625" bestFit="1" customWidth="1"/>
    <col min="4364" max="4365" width="9" customWidth="1"/>
    <col min="4366" max="4367" width="13.28515625" bestFit="1" customWidth="1"/>
    <col min="4368" max="4368" width="9" customWidth="1"/>
    <col min="4612" max="4612" width="16.85546875" customWidth="1"/>
    <col min="4613" max="4613" width="36.42578125" bestFit="1" customWidth="1"/>
    <col min="4614" max="4614" width="12.85546875" customWidth="1"/>
    <col min="4615" max="4615" width="15.7109375" bestFit="1" customWidth="1"/>
    <col min="4616" max="4616" width="16.85546875" bestFit="1" customWidth="1"/>
    <col min="4617" max="4617" width="15" bestFit="1" customWidth="1"/>
    <col min="4618" max="4618" width="16.7109375" customWidth="1"/>
    <col min="4619" max="4619" width="13.28515625" bestFit="1" customWidth="1"/>
    <col min="4620" max="4621" width="9" customWidth="1"/>
    <col min="4622" max="4623" width="13.28515625" bestFit="1" customWidth="1"/>
    <col min="4624" max="4624" width="9" customWidth="1"/>
    <col min="4868" max="4868" width="16.85546875" customWidth="1"/>
    <col min="4869" max="4869" width="36.42578125" bestFit="1" customWidth="1"/>
    <col min="4870" max="4870" width="12.85546875" customWidth="1"/>
    <col min="4871" max="4871" width="15.7109375" bestFit="1" customWidth="1"/>
    <col min="4872" max="4872" width="16.85546875" bestFit="1" customWidth="1"/>
    <col min="4873" max="4873" width="15" bestFit="1" customWidth="1"/>
    <col min="4874" max="4874" width="16.7109375" customWidth="1"/>
    <col min="4875" max="4875" width="13.28515625" bestFit="1" customWidth="1"/>
    <col min="4876" max="4877" width="9" customWidth="1"/>
    <col min="4878" max="4879" width="13.28515625" bestFit="1" customWidth="1"/>
    <col min="4880" max="4880" width="9" customWidth="1"/>
    <col min="5124" max="5124" width="16.85546875" customWidth="1"/>
    <col min="5125" max="5125" width="36.42578125" bestFit="1" customWidth="1"/>
    <col min="5126" max="5126" width="12.85546875" customWidth="1"/>
    <col min="5127" max="5127" width="15.7109375" bestFit="1" customWidth="1"/>
    <col min="5128" max="5128" width="16.85546875" bestFit="1" customWidth="1"/>
    <col min="5129" max="5129" width="15" bestFit="1" customWidth="1"/>
    <col min="5130" max="5130" width="16.7109375" customWidth="1"/>
    <col min="5131" max="5131" width="13.28515625" bestFit="1" customWidth="1"/>
    <col min="5132" max="5133" width="9" customWidth="1"/>
    <col min="5134" max="5135" width="13.28515625" bestFit="1" customWidth="1"/>
    <col min="5136" max="5136" width="9" customWidth="1"/>
    <col min="5380" max="5380" width="16.85546875" customWidth="1"/>
    <col min="5381" max="5381" width="36.42578125" bestFit="1" customWidth="1"/>
    <col min="5382" max="5382" width="12.85546875" customWidth="1"/>
    <col min="5383" max="5383" width="15.7109375" bestFit="1" customWidth="1"/>
    <col min="5384" max="5384" width="16.85546875" bestFit="1" customWidth="1"/>
    <col min="5385" max="5385" width="15" bestFit="1" customWidth="1"/>
    <col min="5386" max="5386" width="16.7109375" customWidth="1"/>
    <col min="5387" max="5387" width="13.28515625" bestFit="1" customWidth="1"/>
    <col min="5388" max="5389" width="9" customWidth="1"/>
    <col min="5390" max="5391" width="13.28515625" bestFit="1" customWidth="1"/>
    <col min="5392" max="5392" width="9" customWidth="1"/>
    <col min="5636" max="5636" width="16.85546875" customWidth="1"/>
    <col min="5637" max="5637" width="36.42578125" bestFit="1" customWidth="1"/>
    <col min="5638" max="5638" width="12.85546875" customWidth="1"/>
    <col min="5639" max="5639" width="15.7109375" bestFit="1" customWidth="1"/>
    <col min="5640" max="5640" width="16.85546875" bestFit="1" customWidth="1"/>
    <col min="5641" max="5641" width="15" bestFit="1" customWidth="1"/>
    <col min="5642" max="5642" width="16.7109375" customWidth="1"/>
    <col min="5643" max="5643" width="13.28515625" bestFit="1" customWidth="1"/>
    <col min="5644" max="5645" width="9" customWidth="1"/>
    <col min="5646" max="5647" width="13.28515625" bestFit="1" customWidth="1"/>
    <col min="5648" max="5648" width="9" customWidth="1"/>
    <col min="5892" max="5892" width="16.85546875" customWidth="1"/>
    <col min="5893" max="5893" width="36.42578125" bestFit="1" customWidth="1"/>
    <col min="5894" max="5894" width="12.85546875" customWidth="1"/>
    <col min="5895" max="5895" width="15.7109375" bestFit="1" customWidth="1"/>
    <col min="5896" max="5896" width="16.85546875" bestFit="1" customWidth="1"/>
    <col min="5897" max="5897" width="15" bestFit="1" customWidth="1"/>
    <col min="5898" max="5898" width="16.7109375" customWidth="1"/>
    <col min="5899" max="5899" width="13.28515625" bestFit="1" customWidth="1"/>
    <col min="5900" max="5901" width="9" customWidth="1"/>
    <col min="5902" max="5903" width="13.28515625" bestFit="1" customWidth="1"/>
    <col min="5904" max="5904" width="9" customWidth="1"/>
    <col min="6148" max="6148" width="16.85546875" customWidth="1"/>
    <col min="6149" max="6149" width="36.42578125" bestFit="1" customWidth="1"/>
    <col min="6150" max="6150" width="12.85546875" customWidth="1"/>
    <col min="6151" max="6151" width="15.7109375" bestFit="1" customWidth="1"/>
    <col min="6152" max="6152" width="16.85546875" bestFit="1" customWidth="1"/>
    <col min="6153" max="6153" width="15" bestFit="1" customWidth="1"/>
    <col min="6154" max="6154" width="16.7109375" customWidth="1"/>
    <col min="6155" max="6155" width="13.28515625" bestFit="1" customWidth="1"/>
    <col min="6156" max="6157" width="9" customWidth="1"/>
    <col min="6158" max="6159" width="13.28515625" bestFit="1" customWidth="1"/>
    <col min="6160" max="6160" width="9" customWidth="1"/>
    <col min="6404" max="6404" width="16.85546875" customWidth="1"/>
    <col min="6405" max="6405" width="36.42578125" bestFit="1" customWidth="1"/>
    <col min="6406" max="6406" width="12.85546875" customWidth="1"/>
    <col min="6407" max="6407" width="15.7109375" bestFit="1" customWidth="1"/>
    <col min="6408" max="6408" width="16.85546875" bestFit="1" customWidth="1"/>
    <col min="6409" max="6409" width="15" bestFit="1" customWidth="1"/>
    <col min="6410" max="6410" width="16.7109375" customWidth="1"/>
    <col min="6411" max="6411" width="13.28515625" bestFit="1" customWidth="1"/>
    <col min="6412" max="6413" width="9" customWidth="1"/>
    <col min="6414" max="6415" width="13.28515625" bestFit="1" customWidth="1"/>
    <col min="6416" max="6416" width="9" customWidth="1"/>
    <col min="6660" max="6660" width="16.85546875" customWidth="1"/>
    <col min="6661" max="6661" width="36.42578125" bestFit="1" customWidth="1"/>
    <col min="6662" max="6662" width="12.85546875" customWidth="1"/>
    <col min="6663" max="6663" width="15.7109375" bestFit="1" customWidth="1"/>
    <col min="6664" max="6664" width="16.85546875" bestFit="1" customWidth="1"/>
    <col min="6665" max="6665" width="15" bestFit="1" customWidth="1"/>
    <col min="6666" max="6666" width="16.7109375" customWidth="1"/>
    <col min="6667" max="6667" width="13.28515625" bestFit="1" customWidth="1"/>
    <col min="6668" max="6669" width="9" customWidth="1"/>
    <col min="6670" max="6671" width="13.28515625" bestFit="1" customWidth="1"/>
    <col min="6672" max="6672" width="9" customWidth="1"/>
    <col min="6916" max="6916" width="16.85546875" customWidth="1"/>
    <col min="6917" max="6917" width="36.42578125" bestFit="1" customWidth="1"/>
    <col min="6918" max="6918" width="12.85546875" customWidth="1"/>
    <col min="6919" max="6919" width="15.7109375" bestFit="1" customWidth="1"/>
    <col min="6920" max="6920" width="16.85546875" bestFit="1" customWidth="1"/>
    <col min="6921" max="6921" width="15" bestFit="1" customWidth="1"/>
    <col min="6922" max="6922" width="16.7109375" customWidth="1"/>
    <col min="6923" max="6923" width="13.28515625" bestFit="1" customWidth="1"/>
    <col min="6924" max="6925" width="9" customWidth="1"/>
    <col min="6926" max="6927" width="13.28515625" bestFit="1" customWidth="1"/>
    <col min="6928" max="6928" width="9" customWidth="1"/>
    <col min="7172" max="7172" width="16.85546875" customWidth="1"/>
    <col min="7173" max="7173" width="36.42578125" bestFit="1" customWidth="1"/>
    <col min="7174" max="7174" width="12.85546875" customWidth="1"/>
    <col min="7175" max="7175" width="15.7109375" bestFit="1" customWidth="1"/>
    <col min="7176" max="7176" width="16.85546875" bestFit="1" customWidth="1"/>
    <col min="7177" max="7177" width="15" bestFit="1" customWidth="1"/>
    <col min="7178" max="7178" width="16.7109375" customWidth="1"/>
    <col min="7179" max="7179" width="13.28515625" bestFit="1" customWidth="1"/>
    <col min="7180" max="7181" width="9" customWidth="1"/>
    <col min="7182" max="7183" width="13.28515625" bestFit="1" customWidth="1"/>
    <col min="7184" max="7184" width="9" customWidth="1"/>
    <col min="7428" max="7428" width="16.85546875" customWidth="1"/>
    <col min="7429" max="7429" width="36.42578125" bestFit="1" customWidth="1"/>
    <col min="7430" max="7430" width="12.85546875" customWidth="1"/>
    <col min="7431" max="7431" width="15.7109375" bestFit="1" customWidth="1"/>
    <col min="7432" max="7432" width="16.85546875" bestFit="1" customWidth="1"/>
    <col min="7433" max="7433" width="15" bestFit="1" customWidth="1"/>
    <col min="7434" max="7434" width="16.7109375" customWidth="1"/>
    <col min="7435" max="7435" width="13.28515625" bestFit="1" customWidth="1"/>
    <col min="7436" max="7437" width="9" customWidth="1"/>
    <col min="7438" max="7439" width="13.28515625" bestFit="1" customWidth="1"/>
    <col min="7440" max="7440" width="9" customWidth="1"/>
    <col min="7684" max="7684" width="16.85546875" customWidth="1"/>
    <col min="7685" max="7685" width="36.42578125" bestFit="1" customWidth="1"/>
    <col min="7686" max="7686" width="12.85546875" customWidth="1"/>
    <col min="7687" max="7687" width="15.7109375" bestFit="1" customWidth="1"/>
    <col min="7688" max="7688" width="16.85546875" bestFit="1" customWidth="1"/>
    <col min="7689" max="7689" width="15" bestFit="1" customWidth="1"/>
    <col min="7690" max="7690" width="16.7109375" customWidth="1"/>
    <col min="7691" max="7691" width="13.28515625" bestFit="1" customWidth="1"/>
    <col min="7692" max="7693" width="9" customWidth="1"/>
    <col min="7694" max="7695" width="13.28515625" bestFit="1" customWidth="1"/>
    <col min="7696" max="7696" width="9" customWidth="1"/>
    <col min="7940" max="7940" width="16.85546875" customWidth="1"/>
    <col min="7941" max="7941" width="36.42578125" bestFit="1" customWidth="1"/>
    <col min="7942" max="7942" width="12.85546875" customWidth="1"/>
    <col min="7943" max="7943" width="15.7109375" bestFit="1" customWidth="1"/>
    <col min="7944" max="7944" width="16.85546875" bestFit="1" customWidth="1"/>
    <col min="7945" max="7945" width="15" bestFit="1" customWidth="1"/>
    <col min="7946" max="7946" width="16.7109375" customWidth="1"/>
    <col min="7947" max="7947" width="13.28515625" bestFit="1" customWidth="1"/>
    <col min="7948" max="7949" width="9" customWidth="1"/>
    <col min="7950" max="7951" width="13.28515625" bestFit="1" customWidth="1"/>
    <col min="7952" max="7952" width="9" customWidth="1"/>
    <col min="8196" max="8196" width="16.85546875" customWidth="1"/>
    <col min="8197" max="8197" width="36.42578125" bestFit="1" customWidth="1"/>
    <col min="8198" max="8198" width="12.85546875" customWidth="1"/>
    <col min="8199" max="8199" width="15.7109375" bestFit="1" customWidth="1"/>
    <col min="8200" max="8200" width="16.85546875" bestFit="1" customWidth="1"/>
    <col min="8201" max="8201" width="15" bestFit="1" customWidth="1"/>
    <col min="8202" max="8202" width="16.7109375" customWidth="1"/>
    <col min="8203" max="8203" width="13.28515625" bestFit="1" customWidth="1"/>
    <col min="8204" max="8205" width="9" customWidth="1"/>
    <col min="8206" max="8207" width="13.28515625" bestFit="1" customWidth="1"/>
    <col min="8208" max="8208" width="9" customWidth="1"/>
    <col min="8452" max="8452" width="16.85546875" customWidth="1"/>
    <col min="8453" max="8453" width="36.42578125" bestFit="1" customWidth="1"/>
    <col min="8454" max="8454" width="12.85546875" customWidth="1"/>
    <col min="8455" max="8455" width="15.7109375" bestFit="1" customWidth="1"/>
    <col min="8456" max="8456" width="16.85546875" bestFit="1" customWidth="1"/>
    <col min="8457" max="8457" width="15" bestFit="1" customWidth="1"/>
    <col min="8458" max="8458" width="16.7109375" customWidth="1"/>
    <col min="8459" max="8459" width="13.28515625" bestFit="1" customWidth="1"/>
    <col min="8460" max="8461" width="9" customWidth="1"/>
    <col min="8462" max="8463" width="13.28515625" bestFit="1" customWidth="1"/>
    <col min="8464" max="8464" width="9" customWidth="1"/>
    <col min="8708" max="8708" width="16.85546875" customWidth="1"/>
    <col min="8709" max="8709" width="36.42578125" bestFit="1" customWidth="1"/>
    <col min="8710" max="8710" width="12.85546875" customWidth="1"/>
    <col min="8711" max="8711" width="15.7109375" bestFit="1" customWidth="1"/>
    <col min="8712" max="8712" width="16.85546875" bestFit="1" customWidth="1"/>
    <col min="8713" max="8713" width="15" bestFit="1" customWidth="1"/>
    <col min="8714" max="8714" width="16.7109375" customWidth="1"/>
    <col min="8715" max="8715" width="13.28515625" bestFit="1" customWidth="1"/>
    <col min="8716" max="8717" width="9" customWidth="1"/>
    <col min="8718" max="8719" width="13.28515625" bestFit="1" customWidth="1"/>
    <col min="8720" max="8720" width="9" customWidth="1"/>
    <col min="8964" max="8964" width="16.85546875" customWidth="1"/>
    <col min="8965" max="8965" width="36.42578125" bestFit="1" customWidth="1"/>
    <col min="8966" max="8966" width="12.85546875" customWidth="1"/>
    <col min="8967" max="8967" width="15.7109375" bestFit="1" customWidth="1"/>
    <col min="8968" max="8968" width="16.85546875" bestFit="1" customWidth="1"/>
    <col min="8969" max="8969" width="15" bestFit="1" customWidth="1"/>
    <col min="8970" max="8970" width="16.7109375" customWidth="1"/>
    <col min="8971" max="8971" width="13.28515625" bestFit="1" customWidth="1"/>
    <col min="8972" max="8973" width="9" customWidth="1"/>
    <col min="8974" max="8975" width="13.28515625" bestFit="1" customWidth="1"/>
    <col min="8976" max="8976" width="9" customWidth="1"/>
    <col min="9220" max="9220" width="16.85546875" customWidth="1"/>
    <col min="9221" max="9221" width="36.42578125" bestFit="1" customWidth="1"/>
    <col min="9222" max="9222" width="12.85546875" customWidth="1"/>
    <col min="9223" max="9223" width="15.7109375" bestFit="1" customWidth="1"/>
    <col min="9224" max="9224" width="16.85546875" bestFit="1" customWidth="1"/>
    <col min="9225" max="9225" width="15" bestFit="1" customWidth="1"/>
    <col min="9226" max="9226" width="16.7109375" customWidth="1"/>
    <col min="9227" max="9227" width="13.28515625" bestFit="1" customWidth="1"/>
    <col min="9228" max="9229" width="9" customWidth="1"/>
    <col min="9230" max="9231" width="13.28515625" bestFit="1" customWidth="1"/>
    <col min="9232" max="9232" width="9" customWidth="1"/>
    <col min="9476" max="9476" width="16.85546875" customWidth="1"/>
    <col min="9477" max="9477" width="36.42578125" bestFit="1" customWidth="1"/>
    <col min="9478" max="9478" width="12.85546875" customWidth="1"/>
    <col min="9479" max="9479" width="15.7109375" bestFit="1" customWidth="1"/>
    <col min="9480" max="9480" width="16.85546875" bestFit="1" customWidth="1"/>
    <col min="9481" max="9481" width="15" bestFit="1" customWidth="1"/>
    <col min="9482" max="9482" width="16.7109375" customWidth="1"/>
    <col min="9483" max="9483" width="13.28515625" bestFit="1" customWidth="1"/>
    <col min="9484" max="9485" width="9" customWidth="1"/>
    <col min="9486" max="9487" width="13.28515625" bestFit="1" customWidth="1"/>
    <col min="9488" max="9488" width="9" customWidth="1"/>
    <col min="9732" max="9732" width="16.85546875" customWidth="1"/>
    <col min="9733" max="9733" width="36.42578125" bestFit="1" customWidth="1"/>
    <col min="9734" max="9734" width="12.85546875" customWidth="1"/>
    <col min="9735" max="9735" width="15.7109375" bestFit="1" customWidth="1"/>
    <col min="9736" max="9736" width="16.85546875" bestFit="1" customWidth="1"/>
    <col min="9737" max="9737" width="15" bestFit="1" customWidth="1"/>
    <col min="9738" max="9738" width="16.7109375" customWidth="1"/>
    <col min="9739" max="9739" width="13.28515625" bestFit="1" customWidth="1"/>
    <col min="9740" max="9741" width="9" customWidth="1"/>
    <col min="9742" max="9743" width="13.28515625" bestFit="1" customWidth="1"/>
    <col min="9744" max="9744" width="9" customWidth="1"/>
    <col min="9988" max="9988" width="16.85546875" customWidth="1"/>
    <col min="9989" max="9989" width="36.42578125" bestFit="1" customWidth="1"/>
    <col min="9990" max="9990" width="12.85546875" customWidth="1"/>
    <col min="9991" max="9991" width="15.7109375" bestFit="1" customWidth="1"/>
    <col min="9992" max="9992" width="16.85546875" bestFit="1" customWidth="1"/>
    <col min="9993" max="9993" width="15" bestFit="1" customWidth="1"/>
    <col min="9994" max="9994" width="16.7109375" customWidth="1"/>
    <col min="9995" max="9995" width="13.28515625" bestFit="1" customWidth="1"/>
    <col min="9996" max="9997" width="9" customWidth="1"/>
    <col min="9998" max="9999" width="13.28515625" bestFit="1" customWidth="1"/>
    <col min="10000" max="10000" width="9" customWidth="1"/>
    <col min="10244" max="10244" width="16.85546875" customWidth="1"/>
    <col min="10245" max="10245" width="36.42578125" bestFit="1" customWidth="1"/>
    <col min="10246" max="10246" width="12.85546875" customWidth="1"/>
    <col min="10247" max="10247" width="15.7109375" bestFit="1" customWidth="1"/>
    <col min="10248" max="10248" width="16.85546875" bestFit="1" customWidth="1"/>
    <col min="10249" max="10249" width="15" bestFit="1" customWidth="1"/>
    <col min="10250" max="10250" width="16.7109375" customWidth="1"/>
    <col min="10251" max="10251" width="13.28515625" bestFit="1" customWidth="1"/>
    <col min="10252" max="10253" width="9" customWidth="1"/>
    <col min="10254" max="10255" width="13.28515625" bestFit="1" customWidth="1"/>
    <col min="10256" max="10256" width="9" customWidth="1"/>
    <col min="10500" max="10500" width="16.85546875" customWidth="1"/>
    <col min="10501" max="10501" width="36.42578125" bestFit="1" customWidth="1"/>
    <col min="10502" max="10502" width="12.85546875" customWidth="1"/>
    <col min="10503" max="10503" width="15.7109375" bestFit="1" customWidth="1"/>
    <col min="10504" max="10504" width="16.85546875" bestFit="1" customWidth="1"/>
    <col min="10505" max="10505" width="15" bestFit="1" customWidth="1"/>
    <col min="10506" max="10506" width="16.7109375" customWidth="1"/>
    <col min="10507" max="10507" width="13.28515625" bestFit="1" customWidth="1"/>
    <col min="10508" max="10509" width="9" customWidth="1"/>
    <col min="10510" max="10511" width="13.28515625" bestFit="1" customWidth="1"/>
    <col min="10512" max="10512" width="9" customWidth="1"/>
    <col min="10756" max="10756" width="16.85546875" customWidth="1"/>
    <col min="10757" max="10757" width="36.42578125" bestFit="1" customWidth="1"/>
    <col min="10758" max="10758" width="12.85546875" customWidth="1"/>
    <col min="10759" max="10759" width="15.7109375" bestFit="1" customWidth="1"/>
    <col min="10760" max="10760" width="16.85546875" bestFit="1" customWidth="1"/>
    <col min="10761" max="10761" width="15" bestFit="1" customWidth="1"/>
    <col min="10762" max="10762" width="16.7109375" customWidth="1"/>
    <col min="10763" max="10763" width="13.28515625" bestFit="1" customWidth="1"/>
    <col min="10764" max="10765" width="9" customWidth="1"/>
    <col min="10766" max="10767" width="13.28515625" bestFit="1" customWidth="1"/>
    <col min="10768" max="10768" width="9" customWidth="1"/>
    <col min="11012" max="11012" width="16.85546875" customWidth="1"/>
    <col min="11013" max="11013" width="36.42578125" bestFit="1" customWidth="1"/>
    <col min="11014" max="11014" width="12.85546875" customWidth="1"/>
    <col min="11015" max="11015" width="15.7109375" bestFit="1" customWidth="1"/>
    <col min="11016" max="11016" width="16.85546875" bestFit="1" customWidth="1"/>
    <col min="11017" max="11017" width="15" bestFit="1" customWidth="1"/>
    <col min="11018" max="11018" width="16.7109375" customWidth="1"/>
    <col min="11019" max="11019" width="13.28515625" bestFit="1" customWidth="1"/>
    <col min="11020" max="11021" width="9" customWidth="1"/>
    <col min="11022" max="11023" width="13.28515625" bestFit="1" customWidth="1"/>
    <col min="11024" max="11024" width="9" customWidth="1"/>
    <col min="11268" max="11268" width="16.85546875" customWidth="1"/>
    <col min="11269" max="11269" width="36.42578125" bestFit="1" customWidth="1"/>
    <col min="11270" max="11270" width="12.85546875" customWidth="1"/>
    <col min="11271" max="11271" width="15.7109375" bestFit="1" customWidth="1"/>
    <col min="11272" max="11272" width="16.85546875" bestFit="1" customWidth="1"/>
    <col min="11273" max="11273" width="15" bestFit="1" customWidth="1"/>
    <col min="11274" max="11274" width="16.7109375" customWidth="1"/>
    <col min="11275" max="11275" width="13.28515625" bestFit="1" customWidth="1"/>
    <col min="11276" max="11277" width="9" customWidth="1"/>
    <col min="11278" max="11279" width="13.28515625" bestFit="1" customWidth="1"/>
    <col min="11280" max="11280" width="9" customWidth="1"/>
    <col min="11524" max="11524" width="16.85546875" customWidth="1"/>
    <col min="11525" max="11525" width="36.42578125" bestFit="1" customWidth="1"/>
    <col min="11526" max="11526" width="12.85546875" customWidth="1"/>
    <col min="11527" max="11527" width="15.7109375" bestFit="1" customWidth="1"/>
    <col min="11528" max="11528" width="16.85546875" bestFit="1" customWidth="1"/>
    <col min="11529" max="11529" width="15" bestFit="1" customWidth="1"/>
    <col min="11530" max="11530" width="16.7109375" customWidth="1"/>
    <col min="11531" max="11531" width="13.28515625" bestFit="1" customWidth="1"/>
    <col min="11532" max="11533" width="9" customWidth="1"/>
    <col min="11534" max="11535" width="13.28515625" bestFit="1" customWidth="1"/>
    <col min="11536" max="11536" width="9" customWidth="1"/>
    <col min="11780" max="11780" width="16.85546875" customWidth="1"/>
    <col min="11781" max="11781" width="36.42578125" bestFit="1" customWidth="1"/>
    <col min="11782" max="11782" width="12.85546875" customWidth="1"/>
    <col min="11783" max="11783" width="15.7109375" bestFit="1" customWidth="1"/>
    <col min="11784" max="11784" width="16.85546875" bestFit="1" customWidth="1"/>
    <col min="11785" max="11785" width="15" bestFit="1" customWidth="1"/>
    <col min="11786" max="11786" width="16.7109375" customWidth="1"/>
    <col min="11787" max="11787" width="13.28515625" bestFit="1" customWidth="1"/>
    <col min="11788" max="11789" width="9" customWidth="1"/>
    <col min="11790" max="11791" width="13.28515625" bestFit="1" customWidth="1"/>
    <col min="11792" max="11792" width="9" customWidth="1"/>
    <col min="12036" max="12036" width="16.85546875" customWidth="1"/>
    <col min="12037" max="12037" width="36.42578125" bestFit="1" customWidth="1"/>
    <col min="12038" max="12038" width="12.85546875" customWidth="1"/>
    <col min="12039" max="12039" width="15.7109375" bestFit="1" customWidth="1"/>
    <col min="12040" max="12040" width="16.85546875" bestFit="1" customWidth="1"/>
    <col min="12041" max="12041" width="15" bestFit="1" customWidth="1"/>
    <col min="12042" max="12042" width="16.7109375" customWidth="1"/>
    <col min="12043" max="12043" width="13.28515625" bestFit="1" customWidth="1"/>
    <col min="12044" max="12045" width="9" customWidth="1"/>
    <col min="12046" max="12047" width="13.28515625" bestFit="1" customWidth="1"/>
    <col min="12048" max="12048" width="9" customWidth="1"/>
    <col min="12292" max="12292" width="16.85546875" customWidth="1"/>
    <col min="12293" max="12293" width="36.42578125" bestFit="1" customWidth="1"/>
    <col min="12294" max="12294" width="12.85546875" customWidth="1"/>
    <col min="12295" max="12295" width="15.7109375" bestFit="1" customWidth="1"/>
    <col min="12296" max="12296" width="16.85546875" bestFit="1" customWidth="1"/>
    <col min="12297" max="12297" width="15" bestFit="1" customWidth="1"/>
    <col min="12298" max="12298" width="16.7109375" customWidth="1"/>
    <col min="12299" max="12299" width="13.28515625" bestFit="1" customWidth="1"/>
    <col min="12300" max="12301" width="9" customWidth="1"/>
    <col min="12302" max="12303" width="13.28515625" bestFit="1" customWidth="1"/>
    <col min="12304" max="12304" width="9" customWidth="1"/>
    <col min="12548" max="12548" width="16.85546875" customWidth="1"/>
    <col min="12549" max="12549" width="36.42578125" bestFit="1" customWidth="1"/>
    <col min="12550" max="12550" width="12.85546875" customWidth="1"/>
    <col min="12551" max="12551" width="15.7109375" bestFit="1" customWidth="1"/>
    <col min="12552" max="12552" width="16.85546875" bestFit="1" customWidth="1"/>
    <col min="12553" max="12553" width="15" bestFit="1" customWidth="1"/>
    <col min="12554" max="12554" width="16.7109375" customWidth="1"/>
    <col min="12555" max="12555" width="13.28515625" bestFit="1" customWidth="1"/>
    <col min="12556" max="12557" width="9" customWidth="1"/>
    <col min="12558" max="12559" width="13.28515625" bestFit="1" customWidth="1"/>
    <col min="12560" max="12560" width="9" customWidth="1"/>
    <col min="12804" max="12804" width="16.85546875" customWidth="1"/>
    <col min="12805" max="12805" width="36.42578125" bestFit="1" customWidth="1"/>
    <col min="12806" max="12806" width="12.85546875" customWidth="1"/>
    <col min="12807" max="12807" width="15.7109375" bestFit="1" customWidth="1"/>
    <col min="12808" max="12808" width="16.85546875" bestFit="1" customWidth="1"/>
    <col min="12809" max="12809" width="15" bestFit="1" customWidth="1"/>
    <col min="12810" max="12810" width="16.7109375" customWidth="1"/>
    <col min="12811" max="12811" width="13.28515625" bestFit="1" customWidth="1"/>
    <col min="12812" max="12813" width="9" customWidth="1"/>
    <col min="12814" max="12815" width="13.28515625" bestFit="1" customWidth="1"/>
    <col min="12816" max="12816" width="9" customWidth="1"/>
    <col min="13060" max="13060" width="16.85546875" customWidth="1"/>
    <col min="13061" max="13061" width="36.42578125" bestFit="1" customWidth="1"/>
    <col min="13062" max="13062" width="12.85546875" customWidth="1"/>
    <col min="13063" max="13063" width="15.7109375" bestFit="1" customWidth="1"/>
    <col min="13064" max="13064" width="16.85546875" bestFit="1" customWidth="1"/>
    <col min="13065" max="13065" width="15" bestFit="1" customWidth="1"/>
    <col min="13066" max="13066" width="16.7109375" customWidth="1"/>
    <col min="13067" max="13067" width="13.28515625" bestFit="1" customWidth="1"/>
    <col min="13068" max="13069" width="9" customWidth="1"/>
    <col min="13070" max="13071" width="13.28515625" bestFit="1" customWidth="1"/>
    <col min="13072" max="13072" width="9" customWidth="1"/>
    <col min="13316" max="13316" width="16.85546875" customWidth="1"/>
    <col min="13317" max="13317" width="36.42578125" bestFit="1" customWidth="1"/>
    <col min="13318" max="13318" width="12.85546875" customWidth="1"/>
    <col min="13319" max="13319" width="15.7109375" bestFit="1" customWidth="1"/>
    <col min="13320" max="13320" width="16.85546875" bestFit="1" customWidth="1"/>
    <col min="13321" max="13321" width="15" bestFit="1" customWidth="1"/>
    <col min="13322" max="13322" width="16.7109375" customWidth="1"/>
    <col min="13323" max="13323" width="13.28515625" bestFit="1" customWidth="1"/>
    <col min="13324" max="13325" width="9" customWidth="1"/>
    <col min="13326" max="13327" width="13.28515625" bestFit="1" customWidth="1"/>
    <col min="13328" max="13328" width="9" customWidth="1"/>
    <col min="13572" max="13572" width="16.85546875" customWidth="1"/>
    <col min="13573" max="13573" width="36.42578125" bestFit="1" customWidth="1"/>
    <col min="13574" max="13574" width="12.85546875" customWidth="1"/>
    <col min="13575" max="13575" width="15.7109375" bestFit="1" customWidth="1"/>
    <col min="13576" max="13576" width="16.85546875" bestFit="1" customWidth="1"/>
    <col min="13577" max="13577" width="15" bestFit="1" customWidth="1"/>
    <col min="13578" max="13578" width="16.7109375" customWidth="1"/>
    <col min="13579" max="13579" width="13.28515625" bestFit="1" customWidth="1"/>
    <col min="13580" max="13581" width="9" customWidth="1"/>
    <col min="13582" max="13583" width="13.28515625" bestFit="1" customWidth="1"/>
    <col min="13584" max="13584" width="9" customWidth="1"/>
    <col min="13828" max="13828" width="16.85546875" customWidth="1"/>
    <col min="13829" max="13829" width="36.42578125" bestFit="1" customWidth="1"/>
    <col min="13830" max="13830" width="12.85546875" customWidth="1"/>
    <col min="13831" max="13831" width="15.7109375" bestFit="1" customWidth="1"/>
    <col min="13832" max="13832" width="16.85546875" bestFit="1" customWidth="1"/>
    <col min="13833" max="13833" width="15" bestFit="1" customWidth="1"/>
    <col min="13834" max="13834" width="16.7109375" customWidth="1"/>
    <col min="13835" max="13835" width="13.28515625" bestFit="1" customWidth="1"/>
    <col min="13836" max="13837" width="9" customWidth="1"/>
    <col min="13838" max="13839" width="13.28515625" bestFit="1" customWidth="1"/>
    <col min="13840" max="13840" width="9" customWidth="1"/>
    <col min="14084" max="14084" width="16.85546875" customWidth="1"/>
    <col min="14085" max="14085" width="36.42578125" bestFit="1" customWidth="1"/>
    <col min="14086" max="14086" width="12.85546875" customWidth="1"/>
    <col min="14087" max="14087" width="15.7109375" bestFit="1" customWidth="1"/>
    <col min="14088" max="14088" width="16.85546875" bestFit="1" customWidth="1"/>
    <col min="14089" max="14089" width="15" bestFit="1" customWidth="1"/>
    <col min="14090" max="14090" width="16.7109375" customWidth="1"/>
    <col min="14091" max="14091" width="13.28515625" bestFit="1" customWidth="1"/>
    <col min="14092" max="14093" width="9" customWidth="1"/>
    <col min="14094" max="14095" width="13.28515625" bestFit="1" customWidth="1"/>
    <col min="14096" max="14096" width="9" customWidth="1"/>
    <col min="14340" max="14340" width="16.85546875" customWidth="1"/>
    <col min="14341" max="14341" width="36.42578125" bestFit="1" customWidth="1"/>
    <col min="14342" max="14342" width="12.85546875" customWidth="1"/>
    <col min="14343" max="14343" width="15.7109375" bestFit="1" customWidth="1"/>
    <col min="14344" max="14344" width="16.85546875" bestFit="1" customWidth="1"/>
    <col min="14345" max="14345" width="15" bestFit="1" customWidth="1"/>
    <col min="14346" max="14346" width="16.7109375" customWidth="1"/>
    <col min="14347" max="14347" width="13.28515625" bestFit="1" customWidth="1"/>
    <col min="14348" max="14349" width="9" customWidth="1"/>
    <col min="14350" max="14351" width="13.28515625" bestFit="1" customWidth="1"/>
    <col min="14352" max="14352" width="9" customWidth="1"/>
    <col min="14596" max="14596" width="16.85546875" customWidth="1"/>
    <col min="14597" max="14597" width="36.42578125" bestFit="1" customWidth="1"/>
    <col min="14598" max="14598" width="12.85546875" customWidth="1"/>
    <col min="14599" max="14599" width="15.7109375" bestFit="1" customWidth="1"/>
    <col min="14600" max="14600" width="16.85546875" bestFit="1" customWidth="1"/>
    <col min="14601" max="14601" width="15" bestFit="1" customWidth="1"/>
    <col min="14602" max="14602" width="16.7109375" customWidth="1"/>
    <col min="14603" max="14603" width="13.28515625" bestFit="1" customWidth="1"/>
    <col min="14604" max="14605" width="9" customWidth="1"/>
    <col min="14606" max="14607" width="13.28515625" bestFit="1" customWidth="1"/>
    <col min="14608" max="14608" width="9" customWidth="1"/>
    <col min="14852" max="14852" width="16.85546875" customWidth="1"/>
    <col min="14853" max="14853" width="36.42578125" bestFit="1" customWidth="1"/>
    <col min="14854" max="14854" width="12.85546875" customWidth="1"/>
    <col min="14855" max="14855" width="15.7109375" bestFit="1" customWidth="1"/>
    <col min="14856" max="14856" width="16.85546875" bestFit="1" customWidth="1"/>
    <col min="14857" max="14857" width="15" bestFit="1" customWidth="1"/>
    <col min="14858" max="14858" width="16.7109375" customWidth="1"/>
    <col min="14859" max="14859" width="13.28515625" bestFit="1" customWidth="1"/>
    <col min="14860" max="14861" width="9" customWidth="1"/>
    <col min="14862" max="14863" width="13.28515625" bestFit="1" customWidth="1"/>
    <col min="14864" max="14864" width="9" customWidth="1"/>
    <col min="15108" max="15108" width="16.85546875" customWidth="1"/>
    <col min="15109" max="15109" width="36.42578125" bestFit="1" customWidth="1"/>
    <col min="15110" max="15110" width="12.85546875" customWidth="1"/>
    <col min="15111" max="15111" width="15.7109375" bestFit="1" customWidth="1"/>
    <col min="15112" max="15112" width="16.85546875" bestFit="1" customWidth="1"/>
    <col min="15113" max="15113" width="15" bestFit="1" customWidth="1"/>
    <col min="15114" max="15114" width="16.7109375" customWidth="1"/>
    <col min="15115" max="15115" width="13.28515625" bestFit="1" customWidth="1"/>
    <col min="15116" max="15117" width="9" customWidth="1"/>
    <col min="15118" max="15119" width="13.28515625" bestFit="1" customWidth="1"/>
    <col min="15120" max="15120" width="9" customWidth="1"/>
    <col min="15364" max="15364" width="16.85546875" customWidth="1"/>
    <col min="15365" max="15365" width="36.42578125" bestFit="1" customWidth="1"/>
    <col min="15366" max="15366" width="12.85546875" customWidth="1"/>
    <col min="15367" max="15367" width="15.7109375" bestFit="1" customWidth="1"/>
    <col min="15368" max="15368" width="16.85546875" bestFit="1" customWidth="1"/>
    <col min="15369" max="15369" width="15" bestFit="1" customWidth="1"/>
    <col min="15370" max="15370" width="16.7109375" customWidth="1"/>
    <col min="15371" max="15371" width="13.28515625" bestFit="1" customWidth="1"/>
    <col min="15372" max="15373" width="9" customWidth="1"/>
    <col min="15374" max="15375" width="13.28515625" bestFit="1" customWidth="1"/>
    <col min="15376" max="15376" width="9" customWidth="1"/>
    <col min="15620" max="15620" width="16.85546875" customWidth="1"/>
    <col min="15621" max="15621" width="36.42578125" bestFit="1" customWidth="1"/>
    <col min="15622" max="15622" width="12.85546875" customWidth="1"/>
    <col min="15623" max="15623" width="15.7109375" bestFit="1" customWidth="1"/>
    <col min="15624" max="15624" width="16.85546875" bestFit="1" customWidth="1"/>
    <col min="15625" max="15625" width="15" bestFit="1" customWidth="1"/>
    <col min="15626" max="15626" width="16.7109375" customWidth="1"/>
    <col min="15627" max="15627" width="13.28515625" bestFit="1" customWidth="1"/>
    <col min="15628" max="15629" width="9" customWidth="1"/>
    <col min="15630" max="15631" width="13.28515625" bestFit="1" customWidth="1"/>
    <col min="15632" max="15632" width="9" customWidth="1"/>
    <col min="15876" max="15876" width="16.85546875" customWidth="1"/>
    <col min="15877" max="15877" width="36.42578125" bestFit="1" customWidth="1"/>
    <col min="15878" max="15878" width="12.85546875" customWidth="1"/>
    <col min="15879" max="15879" width="15.7109375" bestFit="1" customWidth="1"/>
    <col min="15880" max="15880" width="16.85546875" bestFit="1" customWidth="1"/>
    <col min="15881" max="15881" width="15" bestFit="1" customWidth="1"/>
    <col min="15882" max="15882" width="16.7109375" customWidth="1"/>
    <col min="15883" max="15883" width="13.28515625" bestFit="1" customWidth="1"/>
    <col min="15884" max="15885" width="9" customWidth="1"/>
    <col min="15886" max="15887" width="13.28515625" bestFit="1" customWidth="1"/>
    <col min="15888" max="15888" width="9" customWidth="1"/>
    <col min="16132" max="16132" width="16.85546875" customWidth="1"/>
    <col min="16133" max="16133" width="36.42578125" bestFit="1" customWidth="1"/>
    <col min="16134" max="16134" width="12.85546875" customWidth="1"/>
    <col min="16135" max="16135" width="15.7109375" bestFit="1" customWidth="1"/>
    <col min="16136" max="16136" width="16.85546875" bestFit="1" customWidth="1"/>
    <col min="16137" max="16137" width="15" bestFit="1" customWidth="1"/>
    <col min="16138" max="16138" width="16.7109375" customWidth="1"/>
    <col min="16139" max="16139" width="13.28515625" bestFit="1" customWidth="1"/>
    <col min="16140" max="16141" width="9" customWidth="1"/>
    <col min="16142" max="16143" width="13.28515625" bestFit="1" customWidth="1"/>
    <col min="16144" max="16144" width="9" customWidth="1"/>
  </cols>
  <sheetData>
    <row r="3" spans="4:13">
      <c r="D3" s="59"/>
      <c r="E3" s="59"/>
      <c r="F3" s="59"/>
      <c r="J3" s="136"/>
      <c r="K3" s="136"/>
      <c r="L3" s="136"/>
      <c r="M3" s="136"/>
    </row>
    <row r="4" spans="4:13">
      <c r="D4" s="59"/>
      <c r="E4" s="59"/>
      <c r="F4" s="59"/>
      <c r="J4" s="136"/>
      <c r="K4" s="136"/>
      <c r="L4" s="136"/>
      <c r="M4" s="136"/>
    </row>
    <row r="5" spans="4:13" ht="15">
      <c r="D5" s="481" t="s">
        <v>991</v>
      </c>
      <c r="E5" s="482"/>
      <c r="F5" s="144" t="s">
        <v>992</v>
      </c>
      <c r="H5" s="138"/>
      <c r="I5" s="139"/>
      <c r="J5" s="136"/>
      <c r="K5" s="136"/>
      <c r="L5" s="136"/>
      <c r="M5" s="136"/>
    </row>
    <row r="6" spans="4:13" ht="15">
      <c r="D6" s="145" t="s">
        <v>993</v>
      </c>
      <c r="E6" s="147"/>
      <c r="F6" s="145">
        <v>2437271</v>
      </c>
      <c r="G6" s="141">
        <v>2437270</v>
      </c>
      <c r="H6" s="142"/>
      <c r="I6" s="140">
        <v>336527871.37</v>
      </c>
      <c r="J6" s="136"/>
      <c r="K6" s="136"/>
      <c r="L6" s="136"/>
      <c r="M6" s="136"/>
    </row>
    <row r="7" spans="4:13" ht="15">
      <c r="D7" s="145" t="s">
        <v>994</v>
      </c>
      <c r="E7" s="147"/>
      <c r="F7" s="145">
        <v>24500</v>
      </c>
      <c r="G7" s="141">
        <v>24500</v>
      </c>
      <c r="H7" s="138"/>
      <c r="I7" s="140">
        <v>468618.08</v>
      </c>
      <c r="J7" s="136"/>
      <c r="K7" s="136"/>
      <c r="L7" s="136"/>
      <c r="M7" s="136"/>
    </row>
    <row r="8" spans="4:13" ht="15">
      <c r="D8" s="145" t="s">
        <v>995</v>
      </c>
      <c r="E8" s="145"/>
      <c r="F8" s="145">
        <v>336996</v>
      </c>
      <c r="G8" s="141">
        <v>336997</v>
      </c>
      <c r="H8" s="141"/>
      <c r="I8" s="140">
        <f>SUM(I6:I7)</f>
        <v>336996489.44999999</v>
      </c>
      <c r="J8" s="136"/>
      <c r="K8" s="136"/>
      <c r="L8" s="136"/>
      <c r="M8" s="136"/>
    </row>
    <row r="9" spans="4:13" ht="15">
      <c r="D9" s="479" t="s">
        <v>1007</v>
      </c>
      <c r="E9" s="480"/>
      <c r="F9" s="112">
        <f>F6+F7+F8</f>
        <v>2798767</v>
      </c>
      <c r="G9" s="143" t="e">
        <f>+F9+#REF!</f>
        <v>#REF!</v>
      </c>
      <c r="H9" s="141"/>
      <c r="I9" s="140"/>
      <c r="J9" s="136"/>
      <c r="K9" s="136"/>
      <c r="L9" s="136"/>
      <c r="M9" s="136"/>
    </row>
    <row r="10" spans="4:13" ht="15">
      <c r="D10" s="145" t="s">
        <v>994</v>
      </c>
      <c r="E10" s="145" t="s">
        <v>996</v>
      </c>
      <c r="F10" s="145">
        <v>2143</v>
      </c>
      <c r="H10" s="141"/>
      <c r="I10" s="109"/>
      <c r="J10" s="136"/>
      <c r="K10" s="136"/>
      <c r="L10" s="136"/>
      <c r="M10" s="136"/>
    </row>
    <row r="11" spans="4:13" ht="15">
      <c r="D11" s="145" t="s">
        <v>993</v>
      </c>
      <c r="E11" s="145" t="s">
        <v>996</v>
      </c>
      <c r="F11" s="145">
        <v>420002</v>
      </c>
      <c r="H11" s="141"/>
      <c r="I11" s="109"/>
      <c r="J11" s="136"/>
      <c r="K11" s="136"/>
      <c r="L11" s="136"/>
      <c r="M11" s="136"/>
    </row>
    <row r="12" spans="4:13" ht="15">
      <c r="D12" s="145" t="s">
        <v>993</v>
      </c>
      <c r="E12" s="145" t="s">
        <v>997</v>
      </c>
      <c r="F12" s="145">
        <v>-374491</v>
      </c>
      <c r="H12" s="138"/>
      <c r="I12" s="109"/>
      <c r="J12" s="136"/>
      <c r="K12" s="136"/>
      <c r="L12" s="136"/>
      <c r="M12" s="136"/>
    </row>
    <row r="13" spans="4:13">
      <c r="D13" s="145" t="s">
        <v>993</v>
      </c>
      <c r="E13" s="145" t="s">
        <v>998</v>
      </c>
      <c r="F13" s="145">
        <v>-77959</v>
      </c>
      <c r="J13" s="136"/>
      <c r="K13" s="136"/>
      <c r="L13" s="136"/>
      <c r="M13" s="136"/>
    </row>
    <row r="14" spans="4:13">
      <c r="D14" s="145" t="s">
        <v>993</v>
      </c>
      <c r="E14" s="145" t="s">
        <v>999</v>
      </c>
      <c r="F14" s="145">
        <v>-5174</v>
      </c>
      <c r="J14" s="136"/>
      <c r="K14" s="136"/>
      <c r="L14" s="136"/>
      <c r="M14" s="136"/>
    </row>
    <row r="15" spans="4:13">
      <c r="D15" s="479" t="s">
        <v>1008</v>
      </c>
      <c r="E15" s="480"/>
      <c r="F15" s="112">
        <f>2798767-35479</f>
        <v>2763288</v>
      </c>
      <c r="J15" s="136"/>
      <c r="K15" s="136"/>
      <c r="L15" s="136"/>
      <c r="M15" s="136"/>
    </row>
    <row r="16" spans="4:13">
      <c r="D16" s="38"/>
      <c r="E16" s="38"/>
      <c r="F16" s="38"/>
      <c r="J16" s="136"/>
      <c r="K16" s="136"/>
      <c r="L16" s="136"/>
      <c r="M16" s="136"/>
    </row>
    <row r="17" spans="4:13" hidden="1">
      <c r="D17" s="481" t="s">
        <v>991</v>
      </c>
      <c r="E17" s="482"/>
      <c r="F17" s="144" t="s">
        <v>992</v>
      </c>
      <c r="J17" s="136"/>
      <c r="K17" s="136"/>
      <c r="L17" s="136"/>
      <c r="M17" s="136"/>
    </row>
    <row r="18" spans="4:13" hidden="1">
      <c r="D18" s="479" t="s">
        <v>1001</v>
      </c>
      <c r="E18" s="480"/>
      <c r="F18" s="112">
        <v>2763288</v>
      </c>
      <c r="J18" s="136"/>
      <c r="K18" s="136"/>
      <c r="L18" s="136"/>
      <c r="M18" s="136"/>
    </row>
    <row r="19" spans="4:13" hidden="1">
      <c r="D19" s="145" t="s">
        <v>993</v>
      </c>
      <c r="E19" s="145" t="s">
        <v>1002</v>
      </c>
      <c r="F19" s="145">
        <v>35575</v>
      </c>
      <c r="J19" s="136"/>
      <c r="K19" s="136"/>
      <c r="L19" s="136"/>
      <c r="M19" s="136"/>
    </row>
    <row r="20" spans="4:13" hidden="1">
      <c r="D20" s="145" t="s">
        <v>993</v>
      </c>
      <c r="E20" s="145" t="s">
        <v>998</v>
      </c>
      <c r="F20" s="145">
        <v>77959</v>
      </c>
      <c r="J20" s="136"/>
      <c r="K20" s="136"/>
      <c r="L20" s="136"/>
      <c r="M20" s="136"/>
    </row>
    <row r="21" spans="4:13" hidden="1">
      <c r="D21" s="145" t="s">
        <v>993</v>
      </c>
      <c r="E21" s="145" t="s">
        <v>997</v>
      </c>
      <c r="F21" s="145">
        <v>374491</v>
      </c>
      <c r="J21" s="136"/>
      <c r="K21" s="136"/>
      <c r="L21" s="136"/>
      <c r="M21" s="136"/>
    </row>
    <row r="22" spans="4:13" hidden="1">
      <c r="D22" s="479" t="s">
        <v>1000</v>
      </c>
      <c r="E22" s="480"/>
      <c r="F22" s="112">
        <f>SUM(F18:F21)</f>
        <v>3251313</v>
      </c>
    </row>
  </sheetData>
  <mergeCells count="6">
    <mergeCell ref="D22:E22"/>
    <mergeCell ref="D5:E5"/>
    <mergeCell ref="D9:E9"/>
    <mergeCell ref="D15:E15"/>
    <mergeCell ref="D18:E18"/>
    <mergeCell ref="D17:E1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9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8901-BE6A-4877-ABAF-7295E65D4E03}">
  <sheetPr codeName="Planilha1">
    <tabColor theme="4" tint="-0.249977111117893"/>
  </sheetPr>
  <dimension ref="A1:S31"/>
  <sheetViews>
    <sheetView showGridLines="0" zoomScale="85" zoomScaleNormal="85" workbookViewId="0">
      <pane xSplit="6" ySplit="3" topLeftCell="G4" activePane="bottomRight" state="frozen"/>
      <selection pane="topRight" activeCell="K1" sqref="K1"/>
      <selection pane="bottomLeft" activeCell="A14" sqref="A14"/>
      <selection pane="bottomRight" activeCell="H35" sqref="H35"/>
    </sheetView>
  </sheetViews>
  <sheetFormatPr defaultRowHeight="12.75"/>
  <cols>
    <col min="1" max="1" width="1.7109375" style="420" customWidth="1"/>
    <col min="2" max="2" width="4.7109375" style="420" customWidth="1"/>
    <col min="3" max="3" width="8" style="420" customWidth="1"/>
    <col min="4" max="5" width="19.5703125" style="420" customWidth="1"/>
    <col min="6" max="6" width="11.5703125" style="419" customWidth="1"/>
    <col min="7" max="7" width="19" style="420" customWidth="1"/>
    <col min="8" max="14" width="17" style="420" customWidth="1"/>
    <col min="15" max="15" width="2.28515625" style="420" customWidth="1"/>
    <col min="16" max="16" width="9.140625" style="420"/>
    <col min="17" max="18" width="4.28515625" style="420" customWidth="1"/>
    <col min="19" max="16384" width="9.140625" style="420"/>
  </cols>
  <sheetData>
    <row r="1" spans="1:15" s="421" customFormat="1" ht="7.5" hidden="1" customHeight="1">
      <c r="A1" s="422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</row>
    <row r="2" spans="1:15" ht="17.25" customHeight="1">
      <c r="A2" s="423"/>
      <c r="B2" s="483" t="s">
        <v>1310</v>
      </c>
      <c r="C2" s="484"/>
      <c r="D2" s="484"/>
      <c r="E2" s="484"/>
      <c r="F2" s="485"/>
      <c r="G2" s="489" t="s">
        <v>256</v>
      </c>
      <c r="H2" s="463"/>
      <c r="I2" s="465" t="s">
        <v>608</v>
      </c>
      <c r="J2" s="464"/>
      <c r="K2" s="489" t="s">
        <v>1285</v>
      </c>
      <c r="L2" s="489" t="s">
        <v>1119</v>
      </c>
      <c r="M2" s="489" t="s">
        <v>1238</v>
      </c>
      <c r="N2" s="489" t="s">
        <v>243</v>
      </c>
    </row>
    <row r="3" spans="1:15" ht="29.25" customHeight="1">
      <c r="A3" s="423"/>
      <c r="B3" s="486"/>
      <c r="C3" s="487"/>
      <c r="D3" s="487"/>
      <c r="E3" s="487"/>
      <c r="F3" s="488"/>
      <c r="G3" s="490"/>
      <c r="H3" s="417" t="s">
        <v>1240</v>
      </c>
      <c r="I3" s="417" t="s">
        <v>1241</v>
      </c>
      <c r="J3" s="417" t="s">
        <v>1242</v>
      </c>
      <c r="K3" s="490"/>
      <c r="L3" s="490"/>
      <c r="M3" s="490"/>
      <c r="N3" s="490"/>
    </row>
    <row r="4" spans="1:15" s="425" customFormat="1" ht="18" customHeight="1">
      <c r="A4" s="424"/>
      <c r="B4" s="409" t="s">
        <v>1243</v>
      </c>
      <c r="C4" s="461" t="s">
        <v>1363</v>
      </c>
      <c r="D4" s="462"/>
      <c r="E4" s="462"/>
      <c r="F4" s="462"/>
      <c r="G4" s="410">
        <v>2821930569.8199997</v>
      </c>
      <c r="H4" s="410">
        <v>123679770.66</v>
      </c>
      <c r="I4" s="410">
        <v>32953683.989999998</v>
      </c>
      <c r="J4" s="410">
        <v>189109816.34</v>
      </c>
      <c r="K4" s="410">
        <v>0</v>
      </c>
      <c r="L4" s="410">
        <v>-139101656.59</v>
      </c>
      <c r="M4" s="410">
        <v>0</v>
      </c>
      <c r="N4" s="411">
        <f t="shared" ref="N4:N14" si="0">SUM(G4:M4)</f>
        <v>3028572184.2199993</v>
      </c>
    </row>
    <row r="5" spans="1:15" s="425" customFormat="1" ht="18" customHeight="1">
      <c r="A5" s="424"/>
      <c r="B5" s="431"/>
      <c r="C5" s="432" t="s">
        <v>1351</v>
      </c>
      <c r="D5" s="432"/>
      <c r="E5" s="432"/>
      <c r="F5" s="433"/>
      <c r="G5" s="434">
        <v>32953683.989999998</v>
      </c>
      <c r="H5" s="434">
        <v>0</v>
      </c>
      <c r="I5" s="434">
        <v>-32953683.989999998</v>
      </c>
      <c r="J5" s="434">
        <v>0</v>
      </c>
      <c r="K5" s="434">
        <v>0</v>
      </c>
      <c r="L5" s="434">
        <v>0</v>
      </c>
      <c r="M5" s="434">
        <v>0</v>
      </c>
      <c r="N5" s="435">
        <f t="shared" si="0"/>
        <v>0</v>
      </c>
    </row>
    <row r="6" spans="1:15" s="425" customFormat="1" ht="18" customHeight="1">
      <c r="A6" s="424"/>
      <c r="B6" s="431"/>
      <c r="C6" s="432" t="s">
        <v>1119</v>
      </c>
      <c r="D6" s="432"/>
      <c r="E6" s="432"/>
      <c r="F6" s="433" t="s">
        <v>1353</v>
      </c>
      <c r="G6" s="434">
        <f t="shared" ref="G6:M6" si="1">+G7+G9+G10</f>
        <v>0</v>
      </c>
      <c r="H6" s="434">
        <f t="shared" si="1"/>
        <v>0</v>
      </c>
      <c r="I6" s="434">
        <f t="shared" si="1"/>
        <v>0</v>
      </c>
      <c r="J6" s="434">
        <f t="shared" si="1"/>
        <v>0</v>
      </c>
      <c r="K6" s="434">
        <f t="shared" si="1"/>
        <v>0</v>
      </c>
      <c r="L6" s="434">
        <f t="shared" si="1"/>
        <v>-1477989.5100000002</v>
      </c>
      <c r="M6" s="434">
        <f t="shared" si="1"/>
        <v>0</v>
      </c>
      <c r="N6" s="435">
        <f t="shared" si="0"/>
        <v>-1477989.5100000002</v>
      </c>
    </row>
    <row r="7" spans="1:15" s="425" customFormat="1" ht="18" customHeight="1">
      <c r="A7" s="424"/>
      <c r="B7" s="431"/>
      <c r="C7" s="436" t="s">
        <v>1333</v>
      </c>
      <c r="D7" s="432"/>
      <c r="E7" s="432"/>
      <c r="F7" s="433"/>
      <c r="G7" s="434">
        <f t="shared" ref="G7:M7" si="2">+G8</f>
        <v>0</v>
      </c>
      <c r="H7" s="434">
        <f t="shared" si="2"/>
        <v>0</v>
      </c>
      <c r="I7" s="434">
        <f t="shared" si="2"/>
        <v>0</v>
      </c>
      <c r="J7" s="434">
        <f t="shared" si="2"/>
        <v>0</v>
      </c>
      <c r="K7" s="434">
        <f t="shared" si="2"/>
        <v>0</v>
      </c>
      <c r="L7" s="434">
        <f t="shared" si="2"/>
        <v>151674.59999999998</v>
      </c>
      <c r="M7" s="434">
        <f t="shared" si="2"/>
        <v>0</v>
      </c>
      <c r="N7" s="435">
        <f t="shared" si="0"/>
        <v>151674.59999999998</v>
      </c>
    </row>
    <row r="8" spans="1:15" s="425" customFormat="1" ht="15" customHeight="1">
      <c r="A8" s="424"/>
      <c r="B8" s="431"/>
      <c r="C8" s="437" t="s">
        <v>1244</v>
      </c>
      <c r="D8" s="432"/>
      <c r="E8" s="432"/>
      <c r="F8" s="433"/>
      <c r="G8" s="434">
        <v>0</v>
      </c>
      <c r="H8" s="434">
        <v>0</v>
      </c>
      <c r="I8" s="434">
        <v>0</v>
      </c>
      <c r="J8" s="434">
        <v>0</v>
      </c>
      <c r="K8" s="434">
        <v>0</v>
      </c>
      <c r="L8" s="434">
        <v>151674.59999999998</v>
      </c>
      <c r="M8" s="434">
        <v>0</v>
      </c>
      <c r="N8" s="435">
        <f t="shared" si="0"/>
        <v>151674.59999999998</v>
      </c>
    </row>
    <row r="9" spans="1:15" s="425" customFormat="1" ht="18" customHeight="1">
      <c r="A9" s="424"/>
      <c r="B9" s="431"/>
      <c r="C9" s="436" t="s">
        <v>1359</v>
      </c>
      <c r="D9" s="432"/>
      <c r="E9" s="432"/>
      <c r="F9" s="433"/>
      <c r="G9" s="434">
        <v>0</v>
      </c>
      <c r="H9" s="434">
        <v>0</v>
      </c>
      <c r="I9" s="434">
        <v>0</v>
      </c>
      <c r="J9" s="434">
        <v>0</v>
      </c>
      <c r="K9" s="434">
        <v>0</v>
      </c>
      <c r="L9" s="434">
        <v>-952709.51</v>
      </c>
      <c r="M9" s="434">
        <v>0</v>
      </c>
      <c r="N9" s="435">
        <f t="shared" si="0"/>
        <v>-952709.51</v>
      </c>
    </row>
    <row r="10" spans="1:15" s="425" customFormat="1" ht="18" customHeight="1">
      <c r="A10" s="424"/>
      <c r="B10" s="431"/>
      <c r="C10" s="436" t="s">
        <v>1245</v>
      </c>
      <c r="D10" s="432"/>
      <c r="E10" s="432"/>
      <c r="F10" s="433"/>
      <c r="G10" s="434">
        <v>0</v>
      </c>
      <c r="H10" s="434">
        <v>0</v>
      </c>
      <c r="I10" s="434">
        <v>0</v>
      </c>
      <c r="J10" s="434">
        <v>0</v>
      </c>
      <c r="K10" s="434">
        <v>0</v>
      </c>
      <c r="L10" s="434">
        <v>-676954.60000000009</v>
      </c>
      <c r="M10" s="434">
        <v>0</v>
      </c>
      <c r="N10" s="435">
        <f t="shared" si="0"/>
        <v>-676954.60000000009</v>
      </c>
    </row>
    <row r="11" spans="1:15" s="425" customFormat="1" ht="18" customHeight="1">
      <c r="A11" s="424"/>
      <c r="B11" s="431"/>
      <c r="C11" s="432" t="s">
        <v>1281</v>
      </c>
      <c r="D11" s="432"/>
      <c r="E11" s="432"/>
      <c r="F11" s="433"/>
      <c r="G11" s="434">
        <v>0</v>
      </c>
      <c r="H11" s="434">
        <v>0</v>
      </c>
      <c r="I11" s="434">
        <v>0</v>
      </c>
      <c r="J11" s="434">
        <v>0</v>
      </c>
      <c r="K11" s="434">
        <v>0</v>
      </c>
      <c r="L11" s="434">
        <v>0</v>
      </c>
      <c r="M11" s="434">
        <v>-2209292.21</v>
      </c>
      <c r="N11" s="435">
        <f t="shared" si="0"/>
        <v>-2209292.21</v>
      </c>
    </row>
    <row r="12" spans="1:15" s="425" customFormat="1" ht="18" customHeight="1">
      <c r="A12" s="424"/>
      <c r="B12" s="431"/>
      <c r="C12" s="432" t="s">
        <v>1246</v>
      </c>
      <c r="D12" s="432"/>
      <c r="E12" s="432"/>
      <c r="F12" s="433"/>
      <c r="G12" s="434">
        <v>0</v>
      </c>
      <c r="H12" s="434">
        <v>0</v>
      </c>
      <c r="I12" s="434">
        <v>0</v>
      </c>
      <c r="J12" s="434">
        <v>0</v>
      </c>
      <c r="K12" s="434">
        <v>0</v>
      </c>
      <c r="L12" s="434">
        <v>0</v>
      </c>
      <c r="M12" s="434">
        <v>3541695.57</v>
      </c>
      <c r="N12" s="435">
        <f t="shared" si="0"/>
        <v>3541695.57</v>
      </c>
    </row>
    <row r="13" spans="1:15" s="425" customFormat="1" ht="18" customHeight="1">
      <c r="A13" s="424"/>
      <c r="B13" s="431"/>
      <c r="C13" s="432" t="s">
        <v>1354</v>
      </c>
      <c r="D13" s="432"/>
      <c r="E13" s="432"/>
      <c r="F13" s="433"/>
      <c r="G13" s="434">
        <v>0</v>
      </c>
      <c r="H13" s="434">
        <v>0</v>
      </c>
      <c r="I13" s="434">
        <v>0</v>
      </c>
      <c r="J13" s="434">
        <v>-189109816.34</v>
      </c>
      <c r="K13" s="434">
        <v>189109816.34</v>
      </c>
      <c r="L13" s="434">
        <v>0</v>
      </c>
      <c r="M13" s="434">
        <v>0</v>
      </c>
      <c r="N13" s="435">
        <f t="shared" si="0"/>
        <v>0</v>
      </c>
    </row>
    <row r="14" spans="1:15" s="425" customFormat="1" ht="18" customHeight="1">
      <c r="A14" s="424"/>
      <c r="B14" s="431"/>
      <c r="C14" s="432" t="s">
        <v>1146</v>
      </c>
      <c r="D14" s="432"/>
      <c r="E14" s="432"/>
      <c r="F14" s="433"/>
      <c r="G14" s="434">
        <v>0</v>
      </c>
      <c r="H14" s="434">
        <v>0</v>
      </c>
      <c r="I14" s="434">
        <v>0</v>
      </c>
      <c r="J14" s="434">
        <v>0</v>
      </c>
      <c r="K14" s="434">
        <v>0</v>
      </c>
      <c r="L14" s="434">
        <v>0</v>
      </c>
      <c r="M14" s="434">
        <v>88284780.949999988</v>
      </c>
      <c r="N14" s="435">
        <f t="shared" si="0"/>
        <v>88284780.949999988</v>
      </c>
    </row>
    <row r="15" spans="1:15" s="425" customFormat="1" ht="18" customHeight="1">
      <c r="A15" s="424"/>
      <c r="B15" s="431"/>
      <c r="C15" s="432"/>
      <c r="D15" s="432"/>
      <c r="E15" s="432"/>
      <c r="F15" s="433"/>
      <c r="G15" s="434"/>
      <c r="H15" s="434"/>
      <c r="I15" s="434"/>
      <c r="J15" s="434"/>
      <c r="K15" s="434"/>
      <c r="L15" s="434"/>
      <c r="M15" s="434"/>
      <c r="N15" s="435"/>
    </row>
    <row r="16" spans="1:15" s="425" customFormat="1" ht="18" customHeight="1">
      <c r="A16" s="426"/>
      <c r="B16" s="428" t="s">
        <v>1243</v>
      </c>
      <c r="C16" s="460" t="s">
        <v>1362</v>
      </c>
      <c r="D16" s="460"/>
      <c r="E16" s="460"/>
      <c r="F16" s="460"/>
      <c r="G16" s="429">
        <f t="shared" ref="G16:N16" si="3">ROUND(G4+G5+G6+G11+G12+G13+G14,2)</f>
        <v>2854884253.8099999</v>
      </c>
      <c r="H16" s="429">
        <f t="shared" si="3"/>
        <v>123679770.66</v>
      </c>
      <c r="I16" s="429">
        <f t="shared" si="3"/>
        <v>0</v>
      </c>
      <c r="J16" s="429">
        <f t="shared" si="3"/>
        <v>0</v>
      </c>
      <c r="K16" s="429">
        <f t="shared" si="3"/>
        <v>189109816.34</v>
      </c>
      <c r="L16" s="429">
        <f t="shared" si="3"/>
        <v>-140579646.09999999</v>
      </c>
      <c r="M16" s="429">
        <f t="shared" si="3"/>
        <v>89617184.310000002</v>
      </c>
      <c r="N16" s="430">
        <f t="shared" si="3"/>
        <v>3116711379.02</v>
      </c>
    </row>
    <row r="17" spans="1:19" ht="18" customHeight="1">
      <c r="A17" s="427"/>
      <c r="B17" s="438"/>
      <c r="C17" s="438"/>
      <c r="D17" s="438"/>
      <c r="E17" s="438"/>
      <c r="F17" s="439"/>
      <c r="G17" s="438"/>
      <c r="H17" s="438"/>
      <c r="I17" s="438"/>
      <c r="J17" s="438"/>
      <c r="K17" s="438"/>
      <c r="L17" s="438"/>
      <c r="M17" s="438"/>
      <c r="N17" s="438"/>
      <c r="O17" s="427"/>
    </row>
    <row r="18" spans="1:19" s="425" customFormat="1" ht="18" customHeight="1">
      <c r="A18" s="424"/>
      <c r="B18" s="428" t="s">
        <v>1243</v>
      </c>
      <c r="C18" s="461" t="s">
        <v>1361</v>
      </c>
      <c r="D18" s="461"/>
      <c r="E18" s="461"/>
      <c r="F18" s="461"/>
      <c r="G18" s="429">
        <v>2854884253.8099999</v>
      </c>
      <c r="H18" s="429">
        <v>142972009.66</v>
      </c>
      <c r="I18" s="429">
        <v>0</v>
      </c>
      <c r="J18" s="429">
        <v>0</v>
      </c>
      <c r="K18" s="429">
        <v>274914405.89999998</v>
      </c>
      <c r="L18" s="429">
        <v>131350196.85000001</v>
      </c>
      <c r="M18" s="429">
        <v>0</v>
      </c>
      <c r="N18" s="430">
        <f t="shared" ref="N18:N28" si="4">SUM(G18:M18)</f>
        <v>3404120866.2199998</v>
      </c>
    </row>
    <row r="19" spans="1:19" s="425" customFormat="1" ht="18" customHeight="1">
      <c r="A19" s="424"/>
      <c r="B19" s="431"/>
      <c r="C19" s="432" t="s">
        <v>1352</v>
      </c>
      <c r="D19" s="432"/>
      <c r="E19" s="432"/>
      <c r="F19" s="433"/>
      <c r="G19" s="434">
        <v>-20000</v>
      </c>
      <c r="H19" s="434">
        <v>0</v>
      </c>
      <c r="I19" s="434">
        <v>0</v>
      </c>
      <c r="J19" s="434">
        <v>0</v>
      </c>
      <c r="K19" s="434">
        <v>0</v>
      </c>
      <c r="L19" s="434">
        <v>0</v>
      </c>
      <c r="M19" s="434">
        <v>0</v>
      </c>
      <c r="N19" s="435">
        <f t="shared" si="4"/>
        <v>-20000</v>
      </c>
    </row>
    <row r="20" spans="1:19" s="425" customFormat="1" ht="18" customHeight="1">
      <c r="A20" s="424"/>
      <c r="B20" s="431"/>
      <c r="C20" s="432" t="s">
        <v>1119</v>
      </c>
      <c r="D20" s="432"/>
      <c r="E20" s="432"/>
      <c r="F20" s="433" t="s">
        <v>1353</v>
      </c>
      <c r="G20" s="434">
        <f t="shared" ref="G20:M20" si="5">+G21+G23+G24</f>
        <v>0</v>
      </c>
      <c r="H20" s="434">
        <f t="shared" si="5"/>
        <v>0</v>
      </c>
      <c r="I20" s="434">
        <f t="shared" si="5"/>
        <v>0</v>
      </c>
      <c r="J20" s="434">
        <f t="shared" si="5"/>
        <v>0</v>
      </c>
      <c r="K20" s="434">
        <f t="shared" si="5"/>
        <v>0</v>
      </c>
      <c r="L20" s="434">
        <f t="shared" si="5"/>
        <v>-54482191.18</v>
      </c>
      <c r="M20" s="434">
        <f t="shared" si="5"/>
        <v>0</v>
      </c>
      <c r="N20" s="435">
        <f t="shared" si="4"/>
        <v>-54482191.18</v>
      </c>
    </row>
    <row r="21" spans="1:19" s="425" customFormat="1" ht="18" customHeight="1">
      <c r="A21" s="424"/>
      <c r="B21" s="431"/>
      <c r="C21" s="436" t="s">
        <v>1333</v>
      </c>
      <c r="D21" s="432"/>
      <c r="E21" s="432"/>
      <c r="F21" s="433"/>
      <c r="G21" s="434">
        <f t="shared" ref="G21:M21" si="6">+G22</f>
        <v>0</v>
      </c>
      <c r="H21" s="434">
        <f t="shared" si="6"/>
        <v>0</v>
      </c>
      <c r="I21" s="434">
        <f t="shared" si="6"/>
        <v>0</v>
      </c>
      <c r="J21" s="434">
        <f t="shared" si="6"/>
        <v>0</v>
      </c>
      <c r="K21" s="434">
        <f t="shared" si="6"/>
        <v>0</v>
      </c>
      <c r="L21" s="434">
        <f t="shared" si="6"/>
        <v>-1684788.93</v>
      </c>
      <c r="M21" s="434">
        <f t="shared" si="6"/>
        <v>0</v>
      </c>
      <c r="N21" s="435">
        <f t="shared" si="4"/>
        <v>-1684788.93</v>
      </c>
    </row>
    <row r="22" spans="1:19" s="425" customFormat="1" ht="15" customHeight="1">
      <c r="A22" s="424"/>
      <c r="B22" s="431"/>
      <c r="C22" s="437" t="s">
        <v>1244</v>
      </c>
      <c r="D22" s="432"/>
      <c r="E22" s="432"/>
      <c r="F22" s="433"/>
      <c r="G22" s="434">
        <v>0</v>
      </c>
      <c r="H22" s="434">
        <v>0</v>
      </c>
      <c r="I22" s="434">
        <v>0</v>
      </c>
      <c r="J22" s="434">
        <v>0</v>
      </c>
      <c r="K22" s="434">
        <v>0</v>
      </c>
      <c r="L22" s="434">
        <v>-1684788.93</v>
      </c>
      <c r="M22" s="434">
        <v>0</v>
      </c>
      <c r="N22" s="435">
        <f t="shared" si="4"/>
        <v>-1684788.93</v>
      </c>
    </row>
    <row r="23" spans="1:19" s="425" customFormat="1" ht="18" customHeight="1">
      <c r="A23" s="424"/>
      <c r="B23" s="431"/>
      <c r="C23" s="436" t="s">
        <v>1359</v>
      </c>
      <c r="D23" s="432"/>
      <c r="E23" s="432"/>
      <c r="F23" s="433"/>
      <c r="G23" s="434">
        <v>0</v>
      </c>
      <c r="H23" s="434">
        <v>0</v>
      </c>
      <c r="I23" s="434">
        <v>0</v>
      </c>
      <c r="J23" s="434">
        <v>0</v>
      </c>
      <c r="K23" s="434">
        <v>0</v>
      </c>
      <c r="L23" s="434">
        <v>-52594900.530000001</v>
      </c>
      <c r="M23" s="434">
        <v>0</v>
      </c>
      <c r="N23" s="435">
        <f t="shared" si="4"/>
        <v>-52594900.530000001</v>
      </c>
    </row>
    <row r="24" spans="1:19" s="425" customFormat="1" ht="18" customHeight="1">
      <c r="A24" s="424"/>
      <c r="B24" s="431"/>
      <c r="C24" s="436" t="s">
        <v>1245</v>
      </c>
      <c r="D24" s="432"/>
      <c r="E24" s="432"/>
      <c r="F24" s="433"/>
      <c r="G24" s="434">
        <v>0</v>
      </c>
      <c r="H24" s="434">
        <v>0</v>
      </c>
      <c r="I24" s="434">
        <v>0</v>
      </c>
      <c r="J24" s="434">
        <v>0</v>
      </c>
      <c r="K24" s="434">
        <v>0</v>
      </c>
      <c r="L24" s="434">
        <v>-202501.72</v>
      </c>
      <c r="M24" s="434">
        <v>0</v>
      </c>
      <c r="N24" s="435">
        <f t="shared" si="4"/>
        <v>-202501.72</v>
      </c>
    </row>
    <row r="25" spans="1:19" s="425" customFormat="1" ht="18" customHeight="1">
      <c r="A25" s="424"/>
      <c r="B25" s="431"/>
      <c r="C25" s="432" t="s">
        <v>1281</v>
      </c>
      <c r="D25" s="432"/>
      <c r="E25" s="432"/>
      <c r="F25" s="433"/>
      <c r="G25" s="434">
        <v>0</v>
      </c>
      <c r="H25" s="434">
        <v>0</v>
      </c>
      <c r="I25" s="434">
        <v>0</v>
      </c>
      <c r="J25" s="434">
        <v>0</v>
      </c>
      <c r="K25" s="434">
        <v>0</v>
      </c>
      <c r="L25" s="434">
        <v>0</v>
      </c>
      <c r="M25" s="434">
        <v>-3407423.35</v>
      </c>
      <c r="N25" s="435">
        <f t="shared" si="4"/>
        <v>-3407423.35</v>
      </c>
    </row>
    <row r="26" spans="1:19" s="425" customFormat="1" ht="18" customHeight="1">
      <c r="A26" s="424"/>
      <c r="B26" s="431"/>
      <c r="C26" s="432" t="s">
        <v>1246</v>
      </c>
      <c r="D26" s="432"/>
      <c r="E26" s="432"/>
      <c r="F26" s="433"/>
      <c r="G26" s="434">
        <v>0</v>
      </c>
      <c r="H26" s="434">
        <v>0</v>
      </c>
      <c r="I26" s="434">
        <v>0</v>
      </c>
      <c r="J26" s="434">
        <v>0</v>
      </c>
      <c r="K26" s="434">
        <v>0</v>
      </c>
      <c r="L26" s="434">
        <v>0</v>
      </c>
      <c r="M26" s="434">
        <v>-311231.74999999994</v>
      </c>
      <c r="N26" s="435">
        <f t="shared" si="4"/>
        <v>-311231.74999999994</v>
      </c>
    </row>
    <row r="27" spans="1:19" s="425" customFormat="1" ht="18" customHeight="1">
      <c r="A27" s="424"/>
      <c r="B27" s="431"/>
      <c r="C27" s="432" t="s">
        <v>1354</v>
      </c>
      <c r="D27" s="432"/>
      <c r="E27" s="432"/>
      <c r="F27" s="433"/>
      <c r="G27" s="434">
        <v>0</v>
      </c>
      <c r="H27" s="434">
        <v>0</v>
      </c>
      <c r="I27" s="434">
        <v>0</v>
      </c>
      <c r="J27" s="434">
        <v>0</v>
      </c>
      <c r="K27" s="434">
        <v>-274914405.91000003</v>
      </c>
      <c r="L27" s="434">
        <v>0</v>
      </c>
      <c r="M27" s="434">
        <v>0</v>
      </c>
      <c r="N27" s="435">
        <f t="shared" si="4"/>
        <v>-274914405.91000003</v>
      </c>
      <c r="Q27"/>
      <c r="R27"/>
      <c r="S27"/>
    </row>
    <row r="28" spans="1:19" s="425" customFormat="1" ht="18" customHeight="1">
      <c r="A28" s="424"/>
      <c r="B28" s="431"/>
      <c r="C28" s="432" t="s">
        <v>1146</v>
      </c>
      <c r="D28" s="432"/>
      <c r="E28" s="432"/>
      <c r="F28" s="433"/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265894067.88</v>
      </c>
      <c r="N28" s="435">
        <f t="shared" si="4"/>
        <v>265894067.88</v>
      </c>
      <c r="Q28"/>
      <c r="R28"/>
      <c r="S28"/>
    </row>
    <row r="29" spans="1:19" s="425" customFormat="1" ht="18" customHeight="1">
      <c r="A29" s="424"/>
      <c r="B29" s="431"/>
      <c r="C29" s="432"/>
      <c r="D29" s="432"/>
      <c r="E29" s="432"/>
      <c r="F29" s="433"/>
      <c r="G29" s="434"/>
      <c r="H29" s="434"/>
      <c r="I29" s="434"/>
      <c r="J29" s="434"/>
      <c r="K29" s="434"/>
      <c r="L29" s="434"/>
      <c r="M29" s="434"/>
      <c r="N29" s="435"/>
      <c r="Q29"/>
      <c r="R29"/>
      <c r="S29"/>
    </row>
    <row r="30" spans="1:19" s="425" customFormat="1" ht="18" customHeight="1">
      <c r="A30" s="426"/>
      <c r="B30" s="428" t="s">
        <v>1243</v>
      </c>
      <c r="C30" s="460" t="s">
        <v>1360</v>
      </c>
      <c r="D30" s="460"/>
      <c r="E30" s="460"/>
      <c r="F30" s="460"/>
      <c r="G30" s="429">
        <f>ROUND(G18+G19+G20+G25+G26+G27+G28,2)</f>
        <v>2854864253.8099999</v>
      </c>
      <c r="H30" s="429">
        <f>ROUND(H18+H19+H20+H25+H26+H27+H28,2)-0.01</f>
        <v>142972009.65000001</v>
      </c>
      <c r="I30" s="429">
        <f>ROUND(I18+I19+I20+I25+I26+I27+I28,2)</f>
        <v>0</v>
      </c>
      <c r="J30" s="429">
        <f>ROUND(J18+J19+J20+J25+J26+J27+J28,2)</f>
        <v>0</v>
      </c>
      <c r="K30" s="429">
        <f>ROUND(K18+K19+K20+K25+K26+K27+K28,2)+0.01</f>
        <v>0</v>
      </c>
      <c r="L30" s="429">
        <f>ROUND(L18+L19+L20+L25+L26+L27+L28,2)</f>
        <v>76868005.670000002</v>
      </c>
      <c r="M30" s="429">
        <f>ROUND(M18+M19+M20+M25+M26+M27+M28,2)</f>
        <v>262175412.78</v>
      </c>
      <c r="N30" s="430">
        <f>ROUND(N18+N19+N20+N25+N26+N27+N28,2)</f>
        <v>3336879681.9099998</v>
      </c>
      <c r="Q30"/>
      <c r="R30"/>
      <c r="S30"/>
    </row>
    <row r="31" spans="1:19" ht="18" customHeight="1">
      <c r="B31" s="440" t="s">
        <v>345</v>
      </c>
      <c r="C31" s="441"/>
      <c r="D31" s="441"/>
      <c r="E31" s="441"/>
      <c r="F31" s="442"/>
      <c r="G31" s="441"/>
      <c r="H31" s="441"/>
      <c r="I31" s="441"/>
      <c r="J31" s="441"/>
      <c r="K31" s="441"/>
      <c r="L31" s="441"/>
      <c r="M31" s="441"/>
      <c r="N31" s="441"/>
      <c r="Q31"/>
      <c r="R31"/>
      <c r="S31"/>
    </row>
  </sheetData>
  <mergeCells count="6">
    <mergeCell ref="B2:F3"/>
    <mergeCell ref="G2:G3"/>
    <mergeCell ref="K2:K3"/>
    <mergeCell ref="L2:L3"/>
    <mergeCell ref="M2:M3"/>
    <mergeCell ref="N2:N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6">
    <tabColor theme="4" tint="-0.249977111117893"/>
  </sheetPr>
  <dimension ref="A3:XEX60"/>
  <sheetViews>
    <sheetView showGridLines="0" zoomScale="90" zoomScaleNormal="90" workbookViewId="0">
      <pane ySplit="4" topLeftCell="A5" activePane="bottomLeft" state="frozen"/>
      <selection pane="bottomLeft" activeCell="V10" sqref="V10:AA14"/>
    </sheetView>
  </sheetViews>
  <sheetFormatPr defaultRowHeight="12" outlineLevelRow="1" outlineLevelCol="1"/>
  <cols>
    <col min="1" max="1" width="1.7109375" style="186" customWidth="1"/>
    <col min="2" max="2" width="54.5703125" style="189" customWidth="1"/>
    <col min="3" max="3" width="9.140625" style="452" hidden="1" customWidth="1" outlineLevel="1"/>
    <col min="4" max="4" width="4.28515625" style="189" customWidth="1" collapsed="1"/>
    <col min="5" max="5" width="12.7109375" style="250" bestFit="1" customWidth="1"/>
    <col min="6" max="6" width="12" style="250" bestFit="1" customWidth="1"/>
    <col min="7" max="7" width="12.7109375" style="250" bestFit="1" customWidth="1"/>
    <col min="8" max="8" width="11.85546875" style="250" bestFit="1" customWidth="1"/>
    <col min="9" max="9" width="14.42578125" style="250" hidden="1" customWidth="1" outlineLevel="1"/>
    <col min="10" max="16" width="15.7109375" style="250" hidden="1" customWidth="1" outlineLevel="1"/>
    <col min="17" max="17" width="14.42578125" style="250" hidden="1" customWidth="1" outlineLevel="1"/>
    <col min="18" max="20" width="15.7109375" style="250" hidden="1" customWidth="1" outlineLevel="1"/>
    <col min="21" max="21" width="3.28515625" style="186" customWidth="1" collapsed="1"/>
    <col min="22" max="26" width="3.5703125" style="186" customWidth="1"/>
    <col min="27" max="16384" width="9.140625" style="186"/>
  </cols>
  <sheetData>
    <row r="3" spans="1:27" s="188" customFormat="1" ht="15" customHeight="1">
      <c r="A3" s="187"/>
      <c r="B3" s="475" t="s">
        <v>1225</v>
      </c>
      <c r="C3" s="491"/>
      <c r="D3" s="476"/>
      <c r="E3" s="473" t="s">
        <v>1350</v>
      </c>
      <c r="F3" s="473" t="s">
        <v>1286</v>
      </c>
      <c r="G3" s="473" t="s">
        <v>1355</v>
      </c>
      <c r="H3" s="473" t="s">
        <v>1288</v>
      </c>
      <c r="I3" s="473" t="s">
        <v>1341</v>
      </c>
      <c r="J3" s="473">
        <v>2019</v>
      </c>
      <c r="K3" s="473" t="s">
        <v>1306</v>
      </c>
      <c r="L3" s="473" t="s">
        <v>1307</v>
      </c>
      <c r="M3" s="473" t="s">
        <v>1308</v>
      </c>
      <c r="N3" s="473" t="s">
        <v>1309</v>
      </c>
      <c r="O3" s="473" t="s">
        <v>1287</v>
      </c>
      <c r="P3" s="473" t="s">
        <v>1289</v>
      </c>
      <c r="Q3" s="473" t="s">
        <v>1283</v>
      </c>
      <c r="R3" s="473" t="s">
        <v>1284</v>
      </c>
      <c r="S3" s="473">
        <v>2018</v>
      </c>
      <c r="T3" s="473">
        <v>2017</v>
      </c>
    </row>
    <row r="4" spans="1:27" s="188" customFormat="1" ht="15" customHeight="1">
      <c r="A4" s="229"/>
      <c r="B4" s="477"/>
      <c r="C4" s="492"/>
      <c r="D4" s="478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</row>
    <row r="5" spans="1:27" ht="20.100000000000001" customHeight="1">
      <c r="B5" s="261" t="s">
        <v>1198</v>
      </c>
      <c r="C5" s="447"/>
      <c r="D5" s="262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27" ht="20.100000000000001" customHeight="1">
      <c r="B6" s="253" t="s">
        <v>1141</v>
      </c>
      <c r="C6" s="443"/>
      <c r="D6" s="254"/>
      <c r="E6" s="255">
        <f>VLOOKUP($B6,DRE!$B:$XFD,MATCH(E$3,DRE!$B$3:$XFD$3,0),FALSE)</f>
        <v>159715000</v>
      </c>
      <c r="F6" s="255">
        <f>VLOOKUP($B6,DRE!$B:$XFD,MATCH(F$3,DRE!$B$3:$XFD$3,0),FALSE)</f>
        <v>73761000</v>
      </c>
      <c r="G6" s="255">
        <f>VLOOKUP($B6,DRE!$B:$XFD,MATCH(G$3,DRE!$B$3:$XFD$3,0),FALSE)</f>
        <v>205635000</v>
      </c>
      <c r="H6" s="255">
        <f>VLOOKUP($B6,DRE!$B:$XFD,MATCH(H$3,DRE!$B$3:$XFD$3,0),FALSE)</f>
        <v>102074000</v>
      </c>
      <c r="I6" s="255">
        <f>VLOOKUP($B6,DRE!$B:$XFD,MATCH(I$3,DRE!$B$3:$XFD$3,0),FALSE)</f>
        <v>45919000</v>
      </c>
      <c r="J6" s="255">
        <f>VLOOKUP($B6,DRE!$B:$XFD,MATCH(J$3,DRE!$B$3:$XFD$3,0),FALSE)</f>
        <v>477919000</v>
      </c>
      <c r="K6" s="255">
        <f>VLOOKUP($B6,DRE!$B:$XFD,MATCH(K$3,DRE!$B$3:$XFD$3,0),FALSE)</f>
        <v>265019000</v>
      </c>
      <c r="L6" s="255">
        <f>VLOOKUP($B6,DRE!$B:$XFD,MATCH(L$3,DRE!$B$3:$XFD$3,0),FALSE)</f>
        <v>35782000</v>
      </c>
      <c r="M6" s="255">
        <f>VLOOKUP($B6,DRE!$B:$XFD,MATCH(M$3,DRE!$B$3:$XFD$3,0),FALSE)</f>
        <v>367092000</v>
      </c>
      <c r="N6" s="255">
        <f>VLOOKUP($B6,DRE!$B:$XFD,MATCH(N$3,DRE!$B$3:$XFD$3,0),FALSE)</f>
        <v>116366000</v>
      </c>
      <c r="O6" s="255">
        <f>VLOOKUP($B6,DRE!$B:$XFD,MATCH(O$3,DRE!$B$3:$XFD$3,0),FALSE)</f>
        <v>42535000</v>
      </c>
      <c r="P6" s="255">
        <f>VLOOKUP($B6,DRE!$B:$XFD,MATCH(P$3,DRE!$B$3:$XFD$3,0),FALSE)</f>
        <v>80583000</v>
      </c>
      <c r="Q6" s="255">
        <f>VLOOKUP($B6,DRE!$B:$XFD,MATCH(Q$3,DRE!$B$3:$XFD$3,0),FALSE)</f>
        <v>28313000</v>
      </c>
      <c r="R6" s="255">
        <f>VLOOKUP($B6,DRE!$B:$XFD,MATCH(R$3,DRE!$B$3:$XFD$3,0),FALSE)</f>
        <v>38049000</v>
      </c>
      <c r="S6" s="255">
        <f>VLOOKUP($B6,DRE!$B:$XFD,MATCH(S$3,DRE!$B$3:$XFD$3,0),FALSE)</f>
        <v>30256000</v>
      </c>
      <c r="T6" s="255">
        <f>VLOOKUP($B6,DRE!$B:$XFD,MATCH(T$3,DRE!$B$3:$XFD$3,0),FALSE)</f>
        <v>72533000</v>
      </c>
    </row>
    <row r="7" spans="1:27" ht="20.100000000000001" customHeight="1">
      <c r="B7" s="253" t="s">
        <v>1346</v>
      </c>
      <c r="C7" s="443"/>
      <c r="D7" s="254"/>
      <c r="E7" s="255">
        <f t="shared" ref="E7:T7" si="0">SUM(E8:E20)</f>
        <v>-155333000</v>
      </c>
      <c r="F7" s="255">
        <f t="shared" si="0"/>
        <v>-66610000</v>
      </c>
      <c r="G7" s="255">
        <f t="shared" si="0"/>
        <v>-196723000</v>
      </c>
      <c r="H7" s="255">
        <f t="shared" si="0"/>
        <v>-86935000</v>
      </c>
      <c r="I7" s="255">
        <f t="shared" si="0"/>
        <v>-41390000</v>
      </c>
      <c r="J7" s="255">
        <f t="shared" si="0"/>
        <v>-451503000</v>
      </c>
      <c r="K7" s="255">
        <f t="shared" si="0"/>
        <v>-258268000</v>
      </c>
      <c r="L7" s="255">
        <f t="shared" si="0"/>
        <v>-27556000</v>
      </c>
      <c r="M7" s="255">
        <f t="shared" si="0"/>
        <v>-345203000</v>
      </c>
      <c r="N7" s="255">
        <f t="shared" si="0"/>
        <v>-87547000</v>
      </c>
      <c r="O7" s="255">
        <f t="shared" si="0"/>
        <v>-32065000</v>
      </c>
      <c r="P7" s="255">
        <f t="shared" si="0"/>
        <v>-59986000</v>
      </c>
      <c r="Q7" s="255">
        <f t="shared" si="0"/>
        <v>-20326000</v>
      </c>
      <c r="R7" s="255">
        <f t="shared" si="0"/>
        <v>-27920000</v>
      </c>
      <c r="S7" s="255">
        <f t="shared" si="0"/>
        <v>7095000</v>
      </c>
      <c r="T7" s="255">
        <f t="shared" si="0"/>
        <v>3105000</v>
      </c>
    </row>
    <row r="8" spans="1:27" ht="20.100000000000001" customHeight="1">
      <c r="B8" s="256" t="s">
        <v>1347</v>
      </c>
      <c r="C8" s="444"/>
      <c r="D8" s="257"/>
      <c r="E8" s="258">
        <v>-163877000</v>
      </c>
      <c r="F8" s="258">
        <v>-67933000</v>
      </c>
      <c r="G8" s="258">
        <v>-209373000</v>
      </c>
      <c r="H8" s="258">
        <v>-88987000</v>
      </c>
      <c r="I8" s="258">
        <v>-45496000</v>
      </c>
      <c r="J8" s="258">
        <v>-480179000</v>
      </c>
      <c r="K8" s="258">
        <v>-276832000</v>
      </c>
      <c r="L8" s="258">
        <v>-22158000</v>
      </c>
      <c r="M8" s="258">
        <v>-365818000</v>
      </c>
      <c r="N8" s="258">
        <v>-74229000</v>
      </c>
      <c r="O8" s="258">
        <v>-35954000</v>
      </c>
      <c r="P8" s="258">
        <v>-52071000</v>
      </c>
      <c r="Q8" s="258">
        <v>-21054000</v>
      </c>
      <c r="R8" s="258">
        <v>-16117000</v>
      </c>
      <c r="S8" s="258">
        <v>-63443000</v>
      </c>
      <c r="T8" s="258">
        <v>20082000</v>
      </c>
    </row>
    <row r="9" spans="1:27" ht="20.100000000000001" customHeight="1">
      <c r="A9" s="249"/>
      <c r="B9" s="256" t="s">
        <v>1124</v>
      </c>
      <c r="C9" s="444"/>
      <c r="D9" s="257"/>
      <c r="E9" s="258">
        <v>5565000</v>
      </c>
      <c r="F9" s="258">
        <v>5067000</v>
      </c>
      <c r="G9" s="258">
        <v>11863000</v>
      </c>
      <c r="H9" s="258">
        <v>9079000</v>
      </c>
      <c r="I9" s="258">
        <v>6298000</v>
      </c>
      <c r="J9" s="258">
        <v>20171000</v>
      </c>
      <c r="K9" s="258">
        <v>5329000</v>
      </c>
      <c r="L9" s="258">
        <v>3811000</v>
      </c>
      <c r="M9" s="258">
        <v>14408000</v>
      </c>
      <c r="N9" s="258">
        <v>10952000</v>
      </c>
      <c r="O9" s="258">
        <v>4027000</v>
      </c>
      <c r="P9" s="258">
        <v>7141000</v>
      </c>
      <c r="Q9" s="258">
        <v>4012000</v>
      </c>
      <c r="R9" s="258">
        <v>3114000</v>
      </c>
      <c r="S9" s="258">
        <v>14885000</v>
      </c>
      <c r="T9" s="258">
        <v>11358000</v>
      </c>
    </row>
    <row r="10" spans="1:27" ht="20.100000000000001" customHeight="1">
      <c r="A10" s="249"/>
      <c r="B10" s="256" t="s">
        <v>1199</v>
      </c>
      <c r="C10" s="444"/>
      <c r="D10" s="257"/>
      <c r="E10" s="258">
        <v>1597000</v>
      </c>
      <c r="F10" s="258">
        <v>1068000</v>
      </c>
      <c r="G10" s="258">
        <v>2679000</v>
      </c>
      <c r="H10" s="258">
        <v>2512000</v>
      </c>
      <c r="I10" s="258">
        <v>1082000</v>
      </c>
      <c r="J10" s="258">
        <v>7648000</v>
      </c>
      <c r="K10" s="258">
        <v>2895000</v>
      </c>
      <c r="L10" s="258">
        <v>770000</v>
      </c>
      <c r="M10" s="258">
        <v>5408000</v>
      </c>
      <c r="N10" s="258">
        <v>2118000</v>
      </c>
      <c r="O10" s="258">
        <v>722000</v>
      </c>
      <c r="P10" s="258">
        <v>1348000</v>
      </c>
      <c r="Q10" s="258">
        <v>1444000</v>
      </c>
      <c r="R10" s="258">
        <v>627000</v>
      </c>
      <c r="S10" s="258">
        <v>3719000</v>
      </c>
      <c r="T10" s="258">
        <v>2604000</v>
      </c>
      <c r="V10"/>
      <c r="W10"/>
      <c r="X10"/>
      <c r="Y10"/>
      <c r="Z10"/>
      <c r="AA10"/>
    </row>
    <row r="11" spans="1:27" ht="20.100000000000001" customHeight="1">
      <c r="B11" s="256" t="s">
        <v>1292</v>
      </c>
      <c r="C11" s="444"/>
      <c r="D11" s="257"/>
      <c r="E11" s="258">
        <v>0</v>
      </c>
      <c r="F11" s="258">
        <v>-2000</v>
      </c>
      <c r="G11" s="258">
        <v>0</v>
      </c>
      <c r="H11" s="258">
        <v>-2000</v>
      </c>
      <c r="I11" s="258">
        <v>0</v>
      </c>
      <c r="J11" s="258">
        <v>-4000</v>
      </c>
      <c r="K11" s="258">
        <v>-1000</v>
      </c>
      <c r="L11" s="258">
        <v>0</v>
      </c>
      <c r="M11" s="258">
        <v>-3000</v>
      </c>
      <c r="N11" s="258">
        <v>0</v>
      </c>
      <c r="O11" s="258">
        <v>0</v>
      </c>
      <c r="P11" s="258">
        <v>0</v>
      </c>
      <c r="Q11" s="258">
        <v>0</v>
      </c>
      <c r="R11" s="258">
        <v>0</v>
      </c>
      <c r="S11" s="258">
        <v>0</v>
      </c>
      <c r="T11" s="258">
        <v>0</v>
      </c>
      <c r="V11"/>
      <c r="W11"/>
      <c r="X11"/>
      <c r="Y11"/>
      <c r="Z11"/>
      <c r="AA11"/>
    </row>
    <row r="12" spans="1:27" ht="20.100000000000001" customHeight="1">
      <c r="B12" s="256" t="s">
        <v>1200</v>
      </c>
      <c r="C12" s="444"/>
      <c r="D12" s="257"/>
      <c r="E12" s="258">
        <v>183000</v>
      </c>
      <c r="F12" s="258">
        <v>2256000</v>
      </c>
      <c r="G12" s="258">
        <v>2239000</v>
      </c>
      <c r="H12" s="258">
        <v>3079000</v>
      </c>
      <c r="I12" s="258">
        <v>2056000</v>
      </c>
      <c r="J12" s="258">
        <v>4412000</v>
      </c>
      <c r="K12" s="258">
        <v>766000</v>
      </c>
      <c r="L12" s="258">
        <v>2607000</v>
      </c>
      <c r="M12" s="258">
        <v>3845000</v>
      </c>
      <c r="N12" s="258">
        <v>4267000</v>
      </c>
      <c r="O12" s="258">
        <v>1661000</v>
      </c>
      <c r="P12" s="258">
        <v>1661000</v>
      </c>
      <c r="Q12" s="258">
        <v>823000</v>
      </c>
      <c r="R12" s="258">
        <v>0</v>
      </c>
      <c r="S12" s="258">
        <v>6270000</v>
      </c>
      <c r="T12" s="258">
        <v>2511000</v>
      </c>
      <c r="V12"/>
      <c r="W12"/>
      <c r="X12"/>
      <c r="Y12"/>
      <c r="Z12"/>
      <c r="AA12"/>
    </row>
    <row r="13" spans="1:27" ht="20.100000000000001" customHeight="1">
      <c r="B13" s="256" t="s">
        <v>258</v>
      </c>
      <c r="C13" s="444"/>
      <c r="D13" s="257"/>
      <c r="E13" s="258">
        <v>-2000</v>
      </c>
      <c r="F13" s="258">
        <v>0</v>
      </c>
      <c r="G13" s="258">
        <v>-2000</v>
      </c>
      <c r="H13" s="258">
        <v>2000</v>
      </c>
      <c r="I13" s="258">
        <v>0</v>
      </c>
      <c r="J13" s="258">
        <v>100000</v>
      </c>
      <c r="K13" s="258">
        <v>72000</v>
      </c>
      <c r="L13" s="258">
        <v>2000</v>
      </c>
      <c r="M13" s="258">
        <v>75000</v>
      </c>
      <c r="N13" s="258">
        <v>-3000</v>
      </c>
      <c r="O13" s="258">
        <v>-1000</v>
      </c>
      <c r="P13" s="258">
        <v>0</v>
      </c>
      <c r="Q13" s="258">
        <v>1000</v>
      </c>
      <c r="R13" s="258">
        <v>1000</v>
      </c>
      <c r="S13" s="258">
        <v>2000</v>
      </c>
      <c r="T13" s="258">
        <v>-1000</v>
      </c>
      <c r="V13"/>
      <c r="W13"/>
      <c r="X13"/>
      <c r="Y13"/>
      <c r="Z13"/>
      <c r="AA13"/>
    </row>
    <row r="14" spans="1:27" ht="20.100000000000001" customHeight="1">
      <c r="B14" s="256" t="s">
        <v>1125</v>
      </c>
      <c r="C14" s="444"/>
      <c r="D14" s="257"/>
      <c r="E14" s="258">
        <v>2132000</v>
      </c>
      <c r="F14" s="258">
        <v>2286000</v>
      </c>
      <c r="G14" s="258">
        <v>4746000</v>
      </c>
      <c r="H14" s="258">
        <v>4305000</v>
      </c>
      <c r="I14" s="258">
        <v>2614000</v>
      </c>
      <c r="J14" s="258">
        <v>9846000</v>
      </c>
      <c r="K14" s="258">
        <v>2452000</v>
      </c>
      <c r="L14" s="258">
        <v>5542000</v>
      </c>
      <c r="M14" s="258">
        <v>6757000</v>
      </c>
      <c r="N14" s="258">
        <v>8086000</v>
      </c>
      <c r="O14" s="258">
        <v>1873000</v>
      </c>
      <c r="P14" s="258">
        <v>2544000</v>
      </c>
      <c r="Q14" s="258">
        <v>2019000</v>
      </c>
      <c r="R14" s="258">
        <v>671000</v>
      </c>
      <c r="S14" s="258">
        <v>8075000</v>
      </c>
      <c r="T14" s="258">
        <v>5102000</v>
      </c>
      <c r="V14"/>
      <c r="W14"/>
      <c r="X14"/>
      <c r="Y14"/>
      <c r="Z14"/>
      <c r="AA14"/>
    </row>
    <row r="15" spans="1:27" ht="20.100000000000001" customHeight="1">
      <c r="B15" s="256" t="s">
        <v>364</v>
      </c>
      <c r="C15" s="445"/>
      <c r="D15" s="259"/>
      <c r="E15" s="258">
        <v>-25000</v>
      </c>
      <c r="F15" s="258">
        <v>-244000</v>
      </c>
      <c r="G15" s="258">
        <v>-141000</v>
      </c>
      <c r="H15" s="258">
        <v>-524000</v>
      </c>
      <c r="I15" s="258">
        <v>-116000</v>
      </c>
      <c r="J15" s="258">
        <v>-877000</v>
      </c>
      <c r="K15" s="258">
        <v>-199000</v>
      </c>
      <c r="L15" s="258">
        <v>-25000</v>
      </c>
      <c r="M15" s="258">
        <v>-724000</v>
      </c>
      <c r="N15" s="258">
        <v>-164000</v>
      </c>
      <c r="O15" s="258">
        <v>-30000</v>
      </c>
      <c r="P15" s="258">
        <v>-139000</v>
      </c>
      <c r="Q15" s="258">
        <v>-280000</v>
      </c>
      <c r="R15" s="258">
        <v>-109000</v>
      </c>
      <c r="S15" s="258">
        <v>-1202000</v>
      </c>
      <c r="T15" s="258">
        <v>-48000</v>
      </c>
    </row>
    <row r="16" spans="1:27" ht="20.100000000000001" customHeight="1">
      <c r="B16" s="256" t="s">
        <v>261</v>
      </c>
      <c r="C16" s="444"/>
      <c r="D16" s="257"/>
      <c r="E16" s="258">
        <v>0</v>
      </c>
      <c r="F16" s="258">
        <v>0</v>
      </c>
      <c r="G16" s="258">
        <v>853000</v>
      </c>
      <c r="H16" s="258">
        <v>5000</v>
      </c>
      <c r="I16" s="258">
        <v>853000</v>
      </c>
      <c r="J16" s="258">
        <v>16402000</v>
      </c>
      <c r="K16" s="258">
        <v>16397000</v>
      </c>
      <c r="L16" s="258">
        <v>133000</v>
      </c>
      <c r="M16" s="258">
        <v>16402000</v>
      </c>
      <c r="N16" s="258">
        <v>133000</v>
      </c>
      <c r="O16" s="258">
        <v>0</v>
      </c>
      <c r="P16" s="258">
        <v>0</v>
      </c>
      <c r="Q16" s="258">
        <v>5000</v>
      </c>
      <c r="R16" s="258">
        <v>0</v>
      </c>
      <c r="S16" s="258">
        <v>901000</v>
      </c>
      <c r="T16" s="258">
        <v>0</v>
      </c>
    </row>
    <row r="17" spans="2:20" ht="20.100000000000001" customHeight="1">
      <c r="B17" s="256" t="s">
        <v>1280</v>
      </c>
      <c r="C17" s="444"/>
      <c r="D17" s="257"/>
      <c r="E17" s="258">
        <v>2277000</v>
      </c>
      <c r="F17" s="258">
        <v>1435000</v>
      </c>
      <c r="G17" s="258">
        <v>3503000</v>
      </c>
      <c r="H17" s="258">
        <v>3642000</v>
      </c>
      <c r="I17" s="258">
        <v>1226000</v>
      </c>
      <c r="J17" s="258">
        <v>15356000</v>
      </c>
      <c r="K17" s="258">
        <v>2370000</v>
      </c>
      <c r="L17" s="258">
        <v>0</v>
      </c>
      <c r="M17" s="258">
        <v>6012000</v>
      </c>
      <c r="N17" s="258">
        <v>1000</v>
      </c>
      <c r="O17" s="258">
        <v>0</v>
      </c>
      <c r="P17" s="258">
        <v>0</v>
      </c>
      <c r="Q17" s="258">
        <v>2207000</v>
      </c>
      <c r="R17" s="258">
        <v>0</v>
      </c>
      <c r="S17" s="258">
        <v>87767000</v>
      </c>
      <c r="T17" s="258">
        <v>0</v>
      </c>
    </row>
    <row r="18" spans="2:20" ht="20.100000000000001" customHeight="1">
      <c r="B18" s="256" t="s">
        <v>1342</v>
      </c>
      <c r="C18" s="445"/>
      <c r="D18" s="259"/>
      <c r="E18" s="258">
        <v>-120000</v>
      </c>
      <c r="F18" s="258">
        <v>0</v>
      </c>
      <c r="G18" s="258">
        <v>-5126000</v>
      </c>
      <c r="H18" s="258">
        <v>0</v>
      </c>
      <c r="I18" s="258">
        <v>-5006000</v>
      </c>
      <c r="J18" s="258">
        <v>0</v>
      </c>
      <c r="K18" s="258">
        <v>0</v>
      </c>
      <c r="L18" s="258">
        <v>0</v>
      </c>
      <c r="M18" s="258">
        <v>0</v>
      </c>
      <c r="N18" s="258">
        <v>0</v>
      </c>
      <c r="O18" s="258">
        <v>0</v>
      </c>
      <c r="P18" s="258">
        <v>0</v>
      </c>
      <c r="Q18" s="258">
        <v>0</v>
      </c>
      <c r="R18" s="258">
        <v>0</v>
      </c>
      <c r="S18" s="258">
        <v>0</v>
      </c>
      <c r="T18" s="258">
        <v>0</v>
      </c>
    </row>
    <row r="19" spans="2:20" ht="20.100000000000001" customHeight="1">
      <c r="B19" s="256" t="s">
        <v>1247</v>
      </c>
      <c r="C19" s="444"/>
      <c r="D19" s="257"/>
      <c r="E19" s="258">
        <v>-3970000</v>
      </c>
      <c r="F19" s="258">
        <v>-11527000</v>
      </c>
      <c r="G19" s="258">
        <v>-9798000</v>
      </c>
      <c r="H19" s="258">
        <v>-21968000</v>
      </c>
      <c r="I19" s="258">
        <v>-5828000</v>
      </c>
      <c r="J19" s="258">
        <v>-47797000</v>
      </c>
      <c r="K19" s="258">
        <v>-12521000</v>
      </c>
      <c r="L19" s="258">
        <v>-18238000</v>
      </c>
      <c r="M19" s="258">
        <v>-34490000</v>
      </c>
      <c r="N19" s="258">
        <v>-38941000</v>
      </c>
      <c r="O19" s="258">
        <v>-4424000</v>
      </c>
      <c r="P19" s="258">
        <v>-20703000</v>
      </c>
      <c r="Q19" s="258">
        <v>-10441000</v>
      </c>
      <c r="R19" s="258">
        <v>-16279000</v>
      </c>
      <c r="S19" s="258">
        <v>-50112000</v>
      </c>
      <c r="T19" s="258">
        <v>-38503000</v>
      </c>
    </row>
    <row r="20" spans="2:20" ht="20.100000000000001" customHeight="1">
      <c r="B20" s="256" t="s">
        <v>1117</v>
      </c>
      <c r="C20" s="444"/>
      <c r="D20" s="257"/>
      <c r="E20" s="258">
        <v>907000</v>
      </c>
      <c r="F20" s="258">
        <v>984000</v>
      </c>
      <c r="G20" s="258">
        <v>1834000</v>
      </c>
      <c r="H20" s="258">
        <v>1922000</v>
      </c>
      <c r="I20" s="258">
        <v>927000</v>
      </c>
      <c r="J20" s="258">
        <v>3419000</v>
      </c>
      <c r="K20" s="258">
        <v>1004000</v>
      </c>
      <c r="L20" s="258">
        <v>0</v>
      </c>
      <c r="M20" s="258">
        <v>2925000</v>
      </c>
      <c r="N20" s="258">
        <v>233000</v>
      </c>
      <c r="O20" s="258">
        <v>61000</v>
      </c>
      <c r="P20" s="258">
        <v>233000</v>
      </c>
      <c r="Q20" s="258">
        <v>938000</v>
      </c>
      <c r="R20" s="258">
        <v>172000</v>
      </c>
      <c r="S20" s="258">
        <v>233000</v>
      </c>
      <c r="T20" s="258">
        <v>0</v>
      </c>
    </row>
    <row r="21" spans="2:20" ht="20.100000000000001" customHeight="1">
      <c r="B21" s="253" t="s">
        <v>1006</v>
      </c>
      <c r="C21" s="443"/>
      <c r="D21" s="254"/>
      <c r="E21" s="255">
        <f t="shared" ref="E21:T21" si="1">E6+E7</f>
        <v>4382000</v>
      </c>
      <c r="F21" s="255">
        <f t="shared" si="1"/>
        <v>7151000</v>
      </c>
      <c r="G21" s="255">
        <f t="shared" si="1"/>
        <v>8912000</v>
      </c>
      <c r="H21" s="255">
        <f t="shared" si="1"/>
        <v>15139000</v>
      </c>
      <c r="I21" s="255">
        <f t="shared" si="1"/>
        <v>4529000</v>
      </c>
      <c r="J21" s="255">
        <f t="shared" si="1"/>
        <v>26416000</v>
      </c>
      <c r="K21" s="255">
        <f t="shared" si="1"/>
        <v>6751000</v>
      </c>
      <c r="L21" s="255">
        <f t="shared" si="1"/>
        <v>8226000</v>
      </c>
      <c r="M21" s="255">
        <f t="shared" si="1"/>
        <v>21889000</v>
      </c>
      <c r="N21" s="255">
        <f t="shared" si="1"/>
        <v>28819000</v>
      </c>
      <c r="O21" s="255">
        <f t="shared" si="1"/>
        <v>10470000</v>
      </c>
      <c r="P21" s="255">
        <f t="shared" si="1"/>
        <v>20597000</v>
      </c>
      <c r="Q21" s="255">
        <f t="shared" si="1"/>
        <v>7987000</v>
      </c>
      <c r="R21" s="255">
        <f t="shared" si="1"/>
        <v>10129000</v>
      </c>
      <c r="S21" s="255">
        <f t="shared" si="1"/>
        <v>37351000</v>
      </c>
      <c r="T21" s="255">
        <f t="shared" si="1"/>
        <v>75638000</v>
      </c>
    </row>
    <row r="22" spans="2:20" ht="20.100000000000001" customHeight="1">
      <c r="B22" s="253" t="s">
        <v>1201</v>
      </c>
      <c r="C22" s="443"/>
      <c r="D22" s="254"/>
      <c r="E22" s="255">
        <f t="shared" ref="E22:K22" si="2">SUM(E23:E35)</f>
        <v>327139000</v>
      </c>
      <c r="F22" s="255">
        <f t="shared" si="2"/>
        <v>-113693000</v>
      </c>
      <c r="G22" s="255">
        <f t="shared" si="2"/>
        <v>287597000</v>
      </c>
      <c r="H22" s="255">
        <f t="shared" si="2"/>
        <v>-67533000</v>
      </c>
      <c r="I22" s="255">
        <f t="shared" si="2"/>
        <v>-39540000</v>
      </c>
      <c r="J22" s="255">
        <f t="shared" si="2"/>
        <v>-12634000</v>
      </c>
      <c r="K22" s="255">
        <f t="shared" si="2"/>
        <v>-528653000</v>
      </c>
      <c r="L22" s="255">
        <f t="shared" ref="L22:R22" si="3">SUM(L23:L35)</f>
        <v>-9994000</v>
      </c>
      <c r="M22" s="255">
        <f t="shared" si="3"/>
        <v>-596185000</v>
      </c>
      <c r="N22" s="255">
        <f t="shared" si="3"/>
        <v>-36577000</v>
      </c>
      <c r="O22" s="255">
        <f t="shared" si="3"/>
        <v>-8532000</v>
      </c>
      <c r="P22" s="255">
        <f t="shared" si="3"/>
        <v>-26585000</v>
      </c>
      <c r="Q22" s="255">
        <f>SUM(Q23:Q35)</f>
        <v>46161000</v>
      </c>
      <c r="R22" s="255">
        <f t="shared" si="3"/>
        <v>-18054000</v>
      </c>
      <c r="S22" s="255">
        <f t="shared" ref="S22:T22" si="4">SUM(S23:S35)</f>
        <v>-66351000</v>
      </c>
      <c r="T22" s="255">
        <f t="shared" si="4"/>
        <v>-191538000</v>
      </c>
    </row>
    <row r="23" spans="2:20" ht="20.100000000000001" customHeight="1">
      <c r="B23" s="256" t="s">
        <v>1234</v>
      </c>
      <c r="C23" s="444"/>
      <c r="D23" s="257"/>
      <c r="E23" s="258">
        <v>359189000</v>
      </c>
      <c r="F23" s="258">
        <v>-99663000</v>
      </c>
      <c r="G23" s="258">
        <v>337459000</v>
      </c>
      <c r="H23" s="258">
        <v>-44583000</v>
      </c>
      <c r="I23" s="258">
        <v>-21730000</v>
      </c>
      <c r="J23" s="258">
        <v>27312000</v>
      </c>
      <c r="K23" s="258">
        <v>-521952000</v>
      </c>
      <c r="L23" s="258">
        <v>29921000</v>
      </c>
      <c r="M23" s="258">
        <v>-566535000</v>
      </c>
      <c r="N23" s="258">
        <v>15372000</v>
      </c>
      <c r="O23" s="258">
        <v>635000</v>
      </c>
      <c r="P23" s="258">
        <v>-14548000</v>
      </c>
      <c r="Q23" s="258">
        <v>55081000</v>
      </c>
      <c r="R23" s="258">
        <v>-15183000</v>
      </c>
      <c r="S23" s="258">
        <v>-129341000</v>
      </c>
      <c r="T23" s="258">
        <v>-155258000</v>
      </c>
    </row>
    <row r="24" spans="2:20" ht="20.100000000000001" customHeight="1">
      <c r="B24" s="256" t="s">
        <v>1202</v>
      </c>
      <c r="C24" s="444"/>
      <c r="D24" s="257"/>
      <c r="E24" s="258">
        <v>0</v>
      </c>
      <c r="F24" s="258">
        <v>4278000</v>
      </c>
      <c r="G24" s="258">
        <v>10180000</v>
      </c>
      <c r="H24" s="258">
        <v>4278000</v>
      </c>
      <c r="I24" s="258">
        <v>10180000</v>
      </c>
      <c r="J24" s="258">
        <v>4278000</v>
      </c>
      <c r="K24" s="258">
        <v>0</v>
      </c>
      <c r="L24" s="258">
        <v>3983000</v>
      </c>
      <c r="M24" s="258">
        <v>4278000</v>
      </c>
      <c r="N24" s="258">
        <v>3991000</v>
      </c>
      <c r="O24" s="258">
        <v>2000</v>
      </c>
      <c r="P24" s="258">
        <v>7000</v>
      </c>
      <c r="Q24" s="258">
        <v>0</v>
      </c>
      <c r="R24" s="258">
        <v>5000</v>
      </c>
      <c r="S24" s="258">
        <v>4111000</v>
      </c>
      <c r="T24" s="258">
        <v>1594000</v>
      </c>
    </row>
    <row r="25" spans="2:20" ht="20.100000000000001" customHeight="1">
      <c r="B25" s="256" t="s">
        <v>1203</v>
      </c>
      <c r="C25" s="444"/>
      <c r="D25" s="257"/>
      <c r="E25" s="258">
        <v>-46252000</v>
      </c>
      <c r="F25" s="258">
        <v>1090000</v>
      </c>
      <c r="G25" s="258">
        <v>-36716000</v>
      </c>
      <c r="H25" s="258">
        <v>1276000</v>
      </c>
      <c r="I25" s="258">
        <v>9536000</v>
      </c>
      <c r="J25" s="258">
        <v>77406000</v>
      </c>
      <c r="K25" s="258">
        <v>8714000</v>
      </c>
      <c r="L25" s="258">
        <v>-4722000</v>
      </c>
      <c r="M25" s="258">
        <v>9990000</v>
      </c>
      <c r="N25" s="258">
        <v>-7496000</v>
      </c>
      <c r="O25" s="258">
        <v>-1837000</v>
      </c>
      <c r="P25" s="258">
        <v>-2774000</v>
      </c>
      <c r="Q25" s="258">
        <v>187000</v>
      </c>
      <c r="R25" s="258">
        <v>-937000</v>
      </c>
      <c r="S25" s="258">
        <v>48846000</v>
      </c>
      <c r="T25" s="258">
        <v>8782000</v>
      </c>
    </row>
    <row r="26" spans="2:20" ht="20.100000000000001" hidden="1" customHeight="1" outlineLevel="1">
      <c r="B26" s="256" t="s">
        <v>1204</v>
      </c>
      <c r="C26" s="444"/>
      <c r="D26" s="257"/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-70000</v>
      </c>
      <c r="K26" s="258">
        <v>-113000</v>
      </c>
      <c r="L26" s="258">
        <v>-24044000</v>
      </c>
      <c r="M26" s="258">
        <v>-113000</v>
      </c>
      <c r="N26" s="258">
        <v>-21572000</v>
      </c>
      <c r="O26" s="258">
        <v>0</v>
      </c>
      <c r="P26" s="258">
        <v>2471000</v>
      </c>
      <c r="Q26" s="258">
        <v>0</v>
      </c>
      <c r="R26" s="258">
        <v>2471000</v>
      </c>
      <c r="S26" s="258">
        <v>2249000</v>
      </c>
      <c r="T26" s="258">
        <v>-2517000</v>
      </c>
    </row>
    <row r="27" spans="2:20" ht="20.100000000000001" customHeight="1" collapsed="1">
      <c r="B27" s="256" t="s">
        <v>1205</v>
      </c>
      <c r="C27" s="444"/>
      <c r="D27" s="257"/>
      <c r="E27" s="258">
        <v>0</v>
      </c>
      <c r="F27" s="258">
        <v>0</v>
      </c>
      <c r="G27" s="258">
        <v>0</v>
      </c>
      <c r="H27" s="258">
        <v>-2449000</v>
      </c>
      <c r="I27" s="258">
        <v>0</v>
      </c>
      <c r="J27" s="258">
        <v>-2445000</v>
      </c>
      <c r="K27" s="258">
        <v>0</v>
      </c>
      <c r="L27" s="258">
        <v>0</v>
      </c>
      <c r="M27" s="258">
        <v>-2449000</v>
      </c>
      <c r="N27" s="258">
        <v>0</v>
      </c>
      <c r="O27" s="258">
        <v>0</v>
      </c>
      <c r="P27" s="258">
        <v>0</v>
      </c>
      <c r="Q27" s="258">
        <v>-2449000</v>
      </c>
      <c r="R27" s="258">
        <v>0</v>
      </c>
      <c r="S27" s="258">
        <v>0</v>
      </c>
      <c r="T27" s="258">
        <v>0</v>
      </c>
    </row>
    <row r="28" spans="2:20" ht="20.100000000000001" hidden="1" customHeight="1" outlineLevel="1">
      <c r="B28" s="256" t="s">
        <v>1356</v>
      </c>
      <c r="C28" s="444"/>
      <c r="D28" s="257"/>
      <c r="E28" s="258">
        <v>0</v>
      </c>
      <c r="F28" s="258">
        <v>0</v>
      </c>
      <c r="G28" s="258">
        <v>0</v>
      </c>
      <c r="H28" s="258">
        <v>0</v>
      </c>
      <c r="I28" s="258">
        <v>0</v>
      </c>
      <c r="J28" s="258">
        <v>0</v>
      </c>
      <c r="K28" s="258">
        <v>0</v>
      </c>
      <c r="L28" s="258">
        <v>0</v>
      </c>
      <c r="M28" s="258">
        <v>0</v>
      </c>
      <c r="N28" s="258">
        <v>0</v>
      </c>
      <c r="O28" s="258">
        <v>0</v>
      </c>
      <c r="P28" s="258">
        <v>0</v>
      </c>
      <c r="Q28" s="258">
        <v>0</v>
      </c>
      <c r="R28" s="258">
        <v>0</v>
      </c>
      <c r="S28" s="258">
        <v>0</v>
      </c>
      <c r="T28" s="258">
        <v>0</v>
      </c>
    </row>
    <row r="29" spans="2:20" ht="20.100000000000001" customHeight="1" collapsed="1">
      <c r="B29" s="256" t="s">
        <v>1206</v>
      </c>
      <c r="C29" s="444"/>
      <c r="D29" s="257"/>
      <c r="E29" s="258">
        <v>19583000</v>
      </c>
      <c r="F29" s="258">
        <v>-13741000</v>
      </c>
      <c r="G29" s="258">
        <v>-6991000</v>
      </c>
      <c r="H29" s="258">
        <v>-17104000</v>
      </c>
      <c r="I29" s="258">
        <v>-26574000</v>
      </c>
      <c r="J29" s="258">
        <v>-98620000</v>
      </c>
      <c r="K29" s="258">
        <v>-9744000</v>
      </c>
      <c r="L29" s="258">
        <v>-8135000</v>
      </c>
      <c r="M29" s="258">
        <v>-26847000</v>
      </c>
      <c r="N29" s="258">
        <v>-9886000</v>
      </c>
      <c r="O29" s="258">
        <v>-685000</v>
      </c>
      <c r="P29" s="258">
        <v>-1751000</v>
      </c>
      <c r="Q29" s="258">
        <v>-3363000</v>
      </c>
      <c r="R29" s="258">
        <v>-1067000</v>
      </c>
      <c r="S29" s="258">
        <v>-79169000</v>
      </c>
      <c r="T29" s="258">
        <v>-26869000</v>
      </c>
    </row>
    <row r="30" spans="2:20" ht="20.100000000000001" customHeight="1">
      <c r="B30" s="256" t="s">
        <v>1207</v>
      </c>
      <c r="C30" s="444"/>
      <c r="D30" s="257"/>
      <c r="E30" s="258">
        <v>-7009000</v>
      </c>
      <c r="F30" s="258">
        <v>-5921000</v>
      </c>
      <c r="G30" s="258">
        <v>-14306000</v>
      </c>
      <c r="H30" s="258">
        <v>-11183000</v>
      </c>
      <c r="I30" s="258">
        <v>-7297000</v>
      </c>
      <c r="J30" s="258">
        <v>-27404000</v>
      </c>
      <c r="K30" s="258">
        <v>-7183000</v>
      </c>
      <c r="L30" s="258">
        <v>-4319000</v>
      </c>
      <c r="M30" s="258">
        <v>-18365000</v>
      </c>
      <c r="N30" s="258">
        <v>-12475000</v>
      </c>
      <c r="O30" s="258">
        <v>-4899000</v>
      </c>
      <c r="P30" s="258">
        <v>-8156000</v>
      </c>
      <c r="Q30" s="258">
        <v>-5262000</v>
      </c>
      <c r="R30" s="258">
        <v>-3257000</v>
      </c>
      <c r="S30" s="258">
        <v>-17784000</v>
      </c>
      <c r="T30" s="258">
        <v>-14457000</v>
      </c>
    </row>
    <row r="31" spans="2:20" ht="20.100000000000001" customHeight="1">
      <c r="B31" s="256" t="s">
        <v>1312</v>
      </c>
      <c r="C31" s="444"/>
      <c r="D31" s="257"/>
      <c r="E31" s="258">
        <v>-51977000</v>
      </c>
      <c r="F31" s="258">
        <v>0</v>
      </c>
      <c r="G31" s="258">
        <v>-53803000</v>
      </c>
      <c r="H31" s="258">
        <v>0</v>
      </c>
      <c r="I31" s="258">
        <v>-1824000</v>
      </c>
      <c r="J31" s="258">
        <v>0</v>
      </c>
      <c r="K31" s="258">
        <v>0</v>
      </c>
      <c r="L31" s="258">
        <v>0</v>
      </c>
      <c r="M31" s="258">
        <v>0</v>
      </c>
      <c r="N31" s="258">
        <v>0</v>
      </c>
      <c r="O31" s="258">
        <v>0</v>
      </c>
      <c r="P31" s="258">
        <v>0</v>
      </c>
      <c r="Q31" s="258">
        <v>0</v>
      </c>
      <c r="R31" s="258">
        <v>0</v>
      </c>
      <c r="S31" s="258">
        <v>0</v>
      </c>
      <c r="T31" s="258">
        <v>0</v>
      </c>
    </row>
    <row r="32" spans="2:20" ht="20.100000000000001" hidden="1" customHeight="1" outlineLevel="1">
      <c r="B32" s="256" t="s">
        <v>1313</v>
      </c>
      <c r="C32" s="444"/>
      <c r="D32" s="257"/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  <c r="P32" s="258">
        <v>0</v>
      </c>
      <c r="Q32" s="258">
        <v>0</v>
      </c>
      <c r="R32" s="258">
        <v>0</v>
      </c>
      <c r="S32" s="258">
        <v>0</v>
      </c>
      <c r="T32" s="258">
        <v>0</v>
      </c>
    </row>
    <row r="33" spans="2:20" ht="20.100000000000001" customHeight="1" collapsed="1">
      <c r="B33" s="256" t="s">
        <v>1279</v>
      </c>
      <c r="C33" s="444"/>
      <c r="D33" s="257"/>
      <c r="E33" s="258">
        <v>1847000</v>
      </c>
      <c r="F33" s="258">
        <v>2619000</v>
      </c>
      <c r="G33" s="258">
        <v>4319000</v>
      </c>
      <c r="H33" s="258">
        <v>5467000</v>
      </c>
      <c r="I33" s="258">
        <v>2472000</v>
      </c>
      <c r="J33" s="258">
        <v>11699000</v>
      </c>
      <c r="K33" s="258">
        <v>2505000</v>
      </c>
      <c r="L33" s="258">
        <v>0</v>
      </c>
      <c r="M33" s="258">
        <v>7971000</v>
      </c>
      <c r="N33" s="258">
        <v>0</v>
      </c>
      <c r="O33" s="258">
        <v>0</v>
      </c>
      <c r="P33" s="258">
        <v>0</v>
      </c>
      <c r="Q33" s="258">
        <v>2847000</v>
      </c>
      <c r="R33" s="258">
        <v>0</v>
      </c>
      <c r="S33" s="258">
        <v>111305000</v>
      </c>
      <c r="T33" s="258">
        <v>0</v>
      </c>
    </row>
    <row r="34" spans="2:20" ht="20.100000000000001" customHeight="1">
      <c r="B34" s="256" t="s">
        <v>1208</v>
      </c>
      <c r="C34" s="444"/>
      <c r="D34" s="257"/>
      <c r="E34" s="258">
        <v>-183000</v>
      </c>
      <c r="F34" s="258">
        <v>-2309000</v>
      </c>
      <c r="G34" s="258">
        <v>-2239000</v>
      </c>
      <c r="H34" s="258">
        <v>-3137000</v>
      </c>
      <c r="I34" s="258">
        <v>-2056000</v>
      </c>
      <c r="J34" s="258">
        <v>-4580000</v>
      </c>
      <c r="K34" s="258">
        <v>-841000</v>
      </c>
      <c r="L34" s="258">
        <v>-2607000</v>
      </c>
      <c r="M34" s="258">
        <v>-3978000</v>
      </c>
      <c r="N34" s="258">
        <v>-4267000</v>
      </c>
      <c r="O34" s="258">
        <v>-1661000</v>
      </c>
      <c r="P34" s="258">
        <v>-1661000</v>
      </c>
      <c r="Q34" s="258">
        <v>-828000</v>
      </c>
      <c r="R34" s="258">
        <v>0</v>
      </c>
      <c r="S34" s="258">
        <v>-6289000</v>
      </c>
      <c r="T34" s="258">
        <v>-2511000</v>
      </c>
    </row>
    <row r="35" spans="2:20" ht="20.100000000000001" customHeight="1">
      <c r="B35" s="256" t="s">
        <v>1314</v>
      </c>
      <c r="C35" s="444"/>
      <c r="D35" s="257"/>
      <c r="E35" s="258">
        <v>51941000</v>
      </c>
      <c r="F35" s="258">
        <v>-46000</v>
      </c>
      <c r="G35" s="258">
        <v>49694000</v>
      </c>
      <c r="H35" s="258">
        <v>-98000</v>
      </c>
      <c r="I35" s="258">
        <v>-2247000</v>
      </c>
      <c r="J35" s="258">
        <v>-210000</v>
      </c>
      <c r="K35" s="258">
        <v>-39000</v>
      </c>
      <c r="L35" s="258">
        <v>-71000</v>
      </c>
      <c r="M35" s="258">
        <v>-137000</v>
      </c>
      <c r="N35" s="258">
        <v>-244000</v>
      </c>
      <c r="O35" s="258">
        <v>-87000</v>
      </c>
      <c r="P35" s="258">
        <v>-173000</v>
      </c>
      <c r="Q35" s="258">
        <v>-52000</v>
      </c>
      <c r="R35" s="258">
        <v>-86000</v>
      </c>
      <c r="S35" s="258">
        <v>-279000</v>
      </c>
      <c r="T35" s="258">
        <v>-302000</v>
      </c>
    </row>
    <row r="36" spans="2:20" ht="20.100000000000001" customHeight="1">
      <c r="B36" s="253" t="s">
        <v>1209</v>
      </c>
      <c r="C36" s="443"/>
      <c r="D36" s="254"/>
      <c r="E36" s="255">
        <v>38270000</v>
      </c>
      <c r="F36" s="255">
        <v>27110000</v>
      </c>
      <c r="G36" s="255">
        <v>95955000</v>
      </c>
      <c r="H36" s="255">
        <v>27110000</v>
      </c>
      <c r="I36" s="255">
        <v>57684000</v>
      </c>
      <c r="J36" s="255">
        <v>27148000</v>
      </c>
      <c r="K36" s="255">
        <v>39000</v>
      </c>
      <c r="L36" s="255">
        <v>12096000</v>
      </c>
      <c r="M36" s="255">
        <v>27148000</v>
      </c>
      <c r="N36" s="255">
        <v>33861000</v>
      </c>
      <c r="O36" s="255">
        <v>6581000</v>
      </c>
      <c r="P36" s="255">
        <v>21764000</v>
      </c>
      <c r="Q36" s="255">
        <v>0</v>
      </c>
      <c r="R36" s="255">
        <v>15183000</v>
      </c>
      <c r="S36" s="255">
        <v>54026000</v>
      </c>
      <c r="T36" s="255">
        <v>23309000</v>
      </c>
    </row>
    <row r="37" spans="2:20" ht="20.100000000000001" customHeight="1">
      <c r="B37" s="253" t="s">
        <v>1210</v>
      </c>
      <c r="C37" s="443"/>
      <c r="D37" s="254"/>
      <c r="E37" s="255">
        <v>0</v>
      </c>
      <c r="F37" s="255">
        <v>-546000</v>
      </c>
      <c r="G37" s="255">
        <v>-10802000</v>
      </c>
      <c r="H37" s="255">
        <v>-60792000</v>
      </c>
      <c r="I37" s="255">
        <v>-10802000</v>
      </c>
      <c r="J37" s="255">
        <v>-133646000</v>
      </c>
      <c r="K37" s="255">
        <v>-2892000</v>
      </c>
      <c r="L37" s="255">
        <v>-21890000</v>
      </c>
      <c r="M37" s="255">
        <v>-63684000</v>
      </c>
      <c r="N37" s="255">
        <v>-28648000</v>
      </c>
      <c r="O37" s="255">
        <v>-1378000</v>
      </c>
      <c r="P37" s="255">
        <v>-6758000</v>
      </c>
      <c r="Q37" s="255">
        <v>-60246000</v>
      </c>
      <c r="R37" s="255">
        <v>-5380000</v>
      </c>
      <c r="S37" s="255">
        <v>-52072000</v>
      </c>
      <c r="T37" s="255">
        <v>-23798000</v>
      </c>
    </row>
    <row r="38" spans="2:20" ht="20.100000000000001" customHeight="1">
      <c r="B38" s="345" t="s">
        <v>1211</v>
      </c>
      <c r="C38" s="443"/>
      <c r="D38" s="346"/>
      <c r="E38" s="347">
        <v>-143000</v>
      </c>
      <c r="F38" s="347">
        <v>-92000</v>
      </c>
      <c r="G38" s="347">
        <v>-345000</v>
      </c>
      <c r="H38" s="347">
        <v>-240000</v>
      </c>
      <c r="I38" s="347">
        <v>-202000</v>
      </c>
      <c r="J38" s="347">
        <v>-693000</v>
      </c>
      <c r="K38" s="347">
        <v>-150000</v>
      </c>
      <c r="L38" s="347">
        <v>-207000</v>
      </c>
      <c r="M38" s="347">
        <v>-390000</v>
      </c>
      <c r="N38" s="347">
        <v>-679000</v>
      </c>
      <c r="O38" s="347">
        <v>-335000</v>
      </c>
      <c r="P38" s="347">
        <v>-472000</v>
      </c>
      <c r="Q38" s="347">
        <v>-148000</v>
      </c>
      <c r="R38" s="347">
        <v>-138000</v>
      </c>
      <c r="S38" s="347">
        <v>-916000</v>
      </c>
      <c r="T38" s="255">
        <v>-496000</v>
      </c>
    </row>
    <row r="39" spans="2:20" ht="20.100000000000001" customHeight="1">
      <c r="B39" s="348" t="s">
        <v>1212</v>
      </c>
      <c r="C39" s="448"/>
      <c r="D39" s="349"/>
      <c r="E39" s="350">
        <f t="shared" ref="E39:K39" si="5">E21+E22+E36+E37+E38</f>
        <v>369648000</v>
      </c>
      <c r="F39" s="350">
        <f t="shared" si="5"/>
        <v>-80070000</v>
      </c>
      <c r="G39" s="350">
        <f t="shared" si="5"/>
        <v>381317000</v>
      </c>
      <c r="H39" s="350">
        <f t="shared" si="5"/>
        <v>-86316000</v>
      </c>
      <c r="I39" s="350">
        <f t="shared" si="5"/>
        <v>11669000</v>
      </c>
      <c r="J39" s="350">
        <f t="shared" si="5"/>
        <v>-93409000</v>
      </c>
      <c r="K39" s="350">
        <f t="shared" si="5"/>
        <v>-524905000</v>
      </c>
      <c r="L39" s="350">
        <f t="shared" ref="L39:R39" si="6">L21+L22+L36+L37+L38</f>
        <v>-11769000</v>
      </c>
      <c r="M39" s="350">
        <f t="shared" si="6"/>
        <v>-611222000</v>
      </c>
      <c r="N39" s="350">
        <f t="shared" si="6"/>
        <v>-3224000</v>
      </c>
      <c r="O39" s="350">
        <f t="shared" si="6"/>
        <v>6806000</v>
      </c>
      <c r="P39" s="350">
        <f t="shared" si="6"/>
        <v>8546000</v>
      </c>
      <c r="Q39" s="350">
        <f>Q21+Q22+Q36+Q37+Q38</f>
        <v>-6246000</v>
      </c>
      <c r="R39" s="350">
        <f t="shared" si="6"/>
        <v>1740000</v>
      </c>
      <c r="S39" s="350">
        <f t="shared" ref="S39:T39" si="7">S21+S22+S36+S37+S38</f>
        <v>-27962000</v>
      </c>
      <c r="T39" s="252">
        <f t="shared" si="7"/>
        <v>-116885000</v>
      </c>
    </row>
    <row r="40" spans="2:20" ht="20.100000000000001" customHeight="1">
      <c r="B40" s="261" t="s">
        <v>1213</v>
      </c>
      <c r="C40" s="448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52"/>
    </row>
    <row r="41" spans="2:20" ht="20.100000000000001" customHeight="1">
      <c r="B41" s="363" t="s">
        <v>1214</v>
      </c>
      <c r="C41" s="446"/>
      <c r="D41" s="364"/>
      <c r="E41" s="365">
        <v>-255000</v>
      </c>
      <c r="F41" s="365">
        <v>-1601000</v>
      </c>
      <c r="G41" s="365">
        <v>-7513000</v>
      </c>
      <c r="H41" s="365">
        <v>-7171000</v>
      </c>
      <c r="I41" s="365">
        <v>-7258000</v>
      </c>
      <c r="J41" s="365">
        <v>-265721000</v>
      </c>
      <c r="K41" s="365">
        <v>-2017000</v>
      </c>
      <c r="L41" s="365">
        <v>-36051000</v>
      </c>
      <c r="M41" s="365">
        <v>-9188000</v>
      </c>
      <c r="N41" s="365">
        <v>-50287000</v>
      </c>
      <c r="O41" s="365">
        <v>-5161000</v>
      </c>
      <c r="P41" s="365">
        <v>-14237000</v>
      </c>
      <c r="Q41" s="365">
        <v>-5570000</v>
      </c>
      <c r="R41" s="365">
        <v>-9076000</v>
      </c>
      <c r="S41" s="365">
        <v>-57700000</v>
      </c>
      <c r="T41" s="255">
        <v>-64405000</v>
      </c>
    </row>
    <row r="42" spans="2:20" ht="20.100000000000001" customHeight="1">
      <c r="B42" s="363" t="s">
        <v>1315</v>
      </c>
      <c r="C42" s="446"/>
      <c r="D42" s="364"/>
      <c r="E42" s="365">
        <v>13783000</v>
      </c>
      <c r="F42" s="365">
        <v>0</v>
      </c>
      <c r="G42" s="365">
        <v>13783000</v>
      </c>
      <c r="H42" s="365">
        <v>0</v>
      </c>
      <c r="I42" s="365">
        <v>0</v>
      </c>
      <c r="J42" s="365">
        <v>515264000</v>
      </c>
      <c r="K42" s="365">
        <v>515264000</v>
      </c>
      <c r="L42" s="365">
        <v>0</v>
      </c>
      <c r="M42" s="365">
        <v>515264000</v>
      </c>
      <c r="N42" s="365">
        <v>0</v>
      </c>
      <c r="O42" s="365">
        <v>0</v>
      </c>
      <c r="P42" s="365">
        <v>0</v>
      </c>
      <c r="Q42" s="365">
        <v>0</v>
      </c>
      <c r="R42" s="365">
        <v>0</v>
      </c>
      <c r="S42" s="365">
        <v>8000</v>
      </c>
      <c r="T42" s="255">
        <v>11403000</v>
      </c>
    </row>
    <row r="43" spans="2:20" ht="20.100000000000001" hidden="1" customHeight="1" outlineLevel="1">
      <c r="B43" s="366" t="s">
        <v>1316</v>
      </c>
      <c r="C43" s="446"/>
      <c r="D43" s="367"/>
      <c r="E43" s="368">
        <v>0</v>
      </c>
      <c r="F43" s="368">
        <v>0</v>
      </c>
      <c r="G43" s="368">
        <v>0</v>
      </c>
      <c r="H43" s="368">
        <v>0</v>
      </c>
      <c r="I43" s="368">
        <v>0</v>
      </c>
      <c r="J43" s="368">
        <v>0</v>
      </c>
      <c r="K43" s="368">
        <v>0</v>
      </c>
      <c r="L43" s="368">
        <v>0</v>
      </c>
      <c r="M43" s="368">
        <v>0</v>
      </c>
      <c r="N43" s="368">
        <v>0</v>
      </c>
      <c r="O43" s="368">
        <v>0</v>
      </c>
      <c r="P43" s="368">
        <v>0</v>
      </c>
      <c r="Q43" s="368">
        <v>0</v>
      </c>
      <c r="R43" s="368">
        <v>0</v>
      </c>
      <c r="S43" s="368">
        <v>0</v>
      </c>
      <c r="T43" s="255">
        <v>76000</v>
      </c>
    </row>
    <row r="44" spans="2:20" ht="20.100000000000001" customHeight="1" collapsed="1">
      <c r="B44" s="348" t="s">
        <v>1215</v>
      </c>
      <c r="C44" s="448"/>
      <c r="D44" s="349"/>
      <c r="E44" s="350">
        <f t="shared" ref="E44:K44" si="8">SUM(E41:E43)</f>
        <v>13528000</v>
      </c>
      <c r="F44" s="350">
        <f t="shared" si="8"/>
        <v>-1601000</v>
      </c>
      <c r="G44" s="350">
        <f t="shared" si="8"/>
        <v>6270000</v>
      </c>
      <c r="H44" s="350">
        <f t="shared" si="8"/>
        <v>-7171000</v>
      </c>
      <c r="I44" s="350">
        <f t="shared" si="8"/>
        <v>-7258000</v>
      </c>
      <c r="J44" s="350">
        <f t="shared" si="8"/>
        <v>249543000</v>
      </c>
      <c r="K44" s="350">
        <f t="shared" si="8"/>
        <v>513247000</v>
      </c>
      <c r="L44" s="350">
        <f t="shared" ref="L44:R44" si="9">SUM(L41:L43)</f>
        <v>-36051000</v>
      </c>
      <c r="M44" s="350">
        <f t="shared" si="9"/>
        <v>506076000</v>
      </c>
      <c r="N44" s="350">
        <f t="shared" si="9"/>
        <v>-50287000</v>
      </c>
      <c r="O44" s="350">
        <f t="shared" si="9"/>
        <v>-5161000</v>
      </c>
      <c r="P44" s="350">
        <f t="shared" si="9"/>
        <v>-14237000</v>
      </c>
      <c r="Q44" s="350">
        <f t="shared" si="9"/>
        <v>-5570000</v>
      </c>
      <c r="R44" s="350">
        <f t="shared" si="9"/>
        <v>-9076000</v>
      </c>
      <c r="S44" s="350">
        <f t="shared" ref="S44:T44" si="10">SUM(S41:S43)</f>
        <v>-57692000</v>
      </c>
      <c r="T44" s="252">
        <f t="shared" si="10"/>
        <v>-52926000</v>
      </c>
    </row>
    <row r="45" spans="2:20" ht="20.100000000000001" customHeight="1">
      <c r="B45" s="261" t="s">
        <v>1216</v>
      </c>
      <c r="C45" s="448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52"/>
    </row>
    <row r="46" spans="2:20" ht="20.100000000000001" hidden="1" customHeight="1" outlineLevel="1">
      <c r="B46" s="363" t="s">
        <v>1311</v>
      </c>
      <c r="C46" s="446"/>
      <c r="D46" s="364"/>
      <c r="E46" s="365">
        <v>0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  <c r="M46" s="365">
        <v>0</v>
      </c>
      <c r="N46" s="365">
        <v>0</v>
      </c>
      <c r="O46" s="365">
        <v>0</v>
      </c>
      <c r="P46" s="365">
        <v>0</v>
      </c>
      <c r="Q46" s="365">
        <v>0</v>
      </c>
      <c r="R46" s="365">
        <v>0</v>
      </c>
      <c r="S46" s="365">
        <v>0</v>
      </c>
      <c r="T46" s="255">
        <v>0</v>
      </c>
    </row>
    <row r="47" spans="2:20" ht="20.100000000000001" customHeight="1" collapsed="1">
      <c r="B47" s="366" t="s">
        <v>1217</v>
      </c>
      <c r="C47" s="446"/>
      <c r="D47" s="367"/>
      <c r="E47" s="368">
        <v>-368058000</v>
      </c>
      <c r="F47" s="368">
        <v>0</v>
      </c>
      <c r="G47" s="368">
        <v>-368058000</v>
      </c>
      <c r="H47" s="368">
        <v>0</v>
      </c>
      <c r="I47" s="368">
        <v>0</v>
      </c>
      <c r="J47" s="368">
        <v>-255566000</v>
      </c>
      <c r="K47" s="368">
        <v>0</v>
      </c>
      <c r="L47" s="368">
        <v>0</v>
      </c>
      <c r="M47" s="368">
        <v>0</v>
      </c>
      <c r="N47" s="368">
        <v>-11217000</v>
      </c>
      <c r="O47" s="368">
        <v>-11217000</v>
      </c>
      <c r="P47" s="368">
        <v>-11217000</v>
      </c>
      <c r="Q47" s="368">
        <v>0</v>
      </c>
      <c r="R47" s="368">
        <v>0</v>
      </c>
      <c r="S47" s="368">
        <v>-11217000</v>
      </c>
      <c r="T47" s="255">
        <v>0</v>
      </c>
    </row>
    <row r="48" spans="2:20" ht="20.100000000000001" customHeight="1" collapsed="1">
      <c r="B48" s="348" t="s">
        <v>1218</v>
      </c>
      <c r="C48" s="448"/>
      <c r="D48" s="349"/>
      <c r="E48" s="350">
        <f t="shared" ref="E48:K48" si="11">SUM(E46:E47)</f>
        <v>-368058000</v>
      </c>
      <c r="F48" s="350">
        <f t="shared" si="11"/>
        <v>0</v>
      </c>
      <c r="G48" s="350">
        <f t="shared" si="11"/>
        <v>-368058000</v>
      </c>
      <c r="H48" s="350">
        <f t="shared" si="11"/>
        <v>0</v>
      </c>
      <c r="I48" s="350">
        <f t="shared" si="11"/>
        <v>0</v>
      </c>
      <c r="J48" s="350">
        <f t="shared" si="11"/>
        <v>-255566000</v>
      </c>
      <c r="K48" s="350">
        <f t="shared" si="11"/>
        <v>0</v>
      </c>
      <c r="L48" s="350">
        <f t="shared" ref="L48:R48" si="12">SUM(L46:L47)</f>
        <v>0</v>
      </c>
      <c r="M48" s="350">
        <f t="shared" si="12"/>
        <v>0</v>
      </c>
      <c r="N48" s="350">
        <f t="shared" si="12"/>
        <v>-11217000</v>
      </c>
      <c r="O48" s="350">
        <f t="shared" si="12"/>
        <v>-11217000</v>
      </c>
      <c r="P48" s="350">
        <f t="shared" si="12"/>
        <v>-11217000</v>
      </c>
      <c r="Q48" s="350">
        <f>SUM(Q46:Q47)</f>
        <v>0</v>
      </c>
      <c r="R48" s="350">
        <f t="shared" si="12"/>
        <v>0</v>
      </c>
      <c r="S48" s="350">
        <f t="shared" ref="S48:T48" si="13">SUM(S46:S47)</f>
        <v>-11217000</v>
      </c>
      <c r="T48" s="252">
        <f t="shared" si="13"/>
        <v>0</v>
      </c>
    </row>
    <row r="49" spans="2:16378" ht="20.100000000000001" customHeight="1">
      <c r="B49" s="351"/>
      <c r="C49" s="449"/>
      <c r="D49" s="352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260"/>
    </row>
    <row r="50" spans="2:16378" ht="20.100000000000001" customHeight="1">
      <c r="B50" s="354" t="s">
        <v>1219</v>
      </c>
      <c r="C50" s="448"/>
      <c r="D50" s="355"/>
      <c r="E50" s="356">
        <f t="shared" ref="E50:K50" si="14">E39+E44+E48</f>
        <v>15118000</v>
      </c>
      <c r="F50" s="356">
        <f t="shared" si="14"/>
        <v>-81671000</v>
      </c>
      <c r="G50" s="356">
        <f t="shared" si="14"/>
        <v>19529000</v>
      </c>
      <c r="H50" s="356">
        <f t="shared" si="14"/>
        <v>-93487000</v>
      </c>
      <c r="I50" s="356">
        <f t="shared" si="14"/>
        <v>4411000</v>
      </c>
      <c r="J50" s="356">
        <f t="shared" si="14"/>
        <v>-99432000</v>
      </c>
      <c r="K50" s="356">
        <f t="shared" si="14"/>
        <v>-11658000</v>
      </c>
      <c r="L50" s="356">
        <f t="shared" ref="L50:R50" si="15">L39+L44+L48</f>
        <v>-47820000</v>
      </c>
      <c r="M50" s="356">
        <f t="shared" si="15"/>
        <v>-105146000</v>
      </c>
      <c r="N50" s="356">
        <f t="shared" si="15"/>
        <v>-64728000</v>
      </c>
      <c r="O50" s="356">
        <f t="shared" si="15"/>
        <v>-9572000</v>
      </c>
      <c r="P50" s="356">
        <f t="shared" si="15"/>
        <v>-16908000</v>
      </c>
      <c r="Q50" s="356">
        <f t="shared" si="15"/>
        <v>-11816000</v>
      </c>
      <c r="R50" s="356">
        <f t="shared" si="15"/>
        <v>-7336000</v>
      </c>
      <c r="S50" s="356">
        <f>S39+S44+S48</f>
        <v>-96871000</v>
      </c>
      <c r="T50" s="252">
        <f t="shared" ref="T50" si="16">T39+T44+T48</f>
        <v>-169811000</v>
      </c>
    </row>
    <row r="51" spans="2:16378" ht="20.100000000000001" customHeight="1">
      <c r="B51" s="357" t="s">
        <v>1220</v>
      </c>
      <c r="C51" s="448" t="s">
        <v>1220</v>
      </c>
      <c r="D51" s="358"/>
      <c r="E51" s="359">
        <v>444925000</v>
      </c>
      <c r="F51" s="359">
        <v>528131000</v>
      </c>
      <c r="G51" s="359">
        <v>440514000</v>
      </c>
      <c r="H51" s="359">
        <v>539947000</v>
      </c>
      <c r="I51" s="359">
        <v>440514000</v>
      </c>
      <c r="J51" s="359">
        <v>539947000</v>
      </c>
      <c r="K51" s="359">
        <v>446460000</v>
      </c>
      <c r="L51" s="359">
        <v>619909000</v>
      </c>
      <c r="M51" s="359">
        <v>539947000</v>
      </c>
      <c r="N51" s="359">
        <v>636817000</v>
      </c>
      <c r="O51" s="359">
        <v>629481000</v>
      </c>
      <c r="P51" s="359">
        <v>636817000</v>
      </c>
      <c r="Q51" s="359">
        <v>539947000</v>
      </c>
      <c r="R51" s="359">
        <v>636817000</v>
      </c>
      <c r="S51" s="359">
        <v>636817000</v>
      </c>
      <c r="T51" s="252">
        <v>806629000</v>
      </c>
    </row>
    <row r="52" spans="2:16378" ht="20.100000000000001" customHeight="1">
      <c r="B52" s="360" t="s">
        <v>1221</v>
      </c>
      <c r="C52" s="450"/>
      <c r="D52" s="361"/>
      <c r="E52" s="362">
        <f t="shared" ref="E52:K52" si="17">E50+E51</f>
        <v>460043000</v>
      </c>
      <c r="F52" s="362">
        <f t="shared" si="17"/>
        <v>446460000</v>
      </c>
      <c r="G52" s="362">
        <f t="shared" si="17"/>
        <v>460043000</v>
      </c>
      <c r="H52" s="362">
        <f t="shared" si="17"/>
        <v>446460000</v>
      </c>
      <c r="I52" s="362">
        <f t="shared" si="17"/>
        <v>444925000</v>
      </c>
      <c r="J52" s="362">
        <f t="shared" si="17"/>
        <v>440515000</v>
      </c>
      <c r="K52" s="362">
        <f t="shared" si="17"/>
        <v>434802000</v>
      </c>
      <c r="L52" s="362">
        <f t="shared" ref="L52:R52" si="18">L50+L51</f>
        <v>572089000</v>
      </c>
      <c r="M52" s="362">
        <f t="shared" si="18"/>
        <v>434801000</v>
      </c>
      <c r="N52" s="362">
        <f t="shared" si="18"/>
        <v>572089000</v>
      </c>
      <c r="O52" s="362">
        <f t="shared" si="18"/>
        <v>619909000</v>
      </c>
      <c r="P52" s="362">
        <f t="shared" si="18"/>
        <v>619909000</v>
      </c>
      <c r="Q52" s="362">
        <f t="shared" si="18"/>
        <v>528131000</v>
      </c>
      <c r="R52" s="362">
        <f t="shared" si="18"/>
        <v>629481000</v>
      </c>
      <c r="S52" s="362">
        <f>S50+S51</f>
        <v>539946000</v>
      </c>
      <c r="T52" s="252">
        <f t="shared" ref="T52" si="19">T50+T51</f>
        <v>636818000</v>
      </c>
    </row>
    <row r="53" spans="2:16378">
      <c r="B53" s="225" t="s">
        <v>345</v>
      </c>
      <c r="C53" s="451"/>
      <c r="D53" s="226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</row>
    <row r="56" spans="2:16378">
      <c r="B56" s="190" t="s">
        <v>1239</v>
      </c>
      <c r="C56" s="453"/>
      <c r="D56" s="190"/>
      <c r="E56" s="251">
        <v>44012</v>
      </c>
      <c r="F56" s="251">
        <v>43646</v>
      </c>
      <c r="G56" s="251">
        <v>44012</v>
      </c>
      <c r="H56" s="251">
        <v>43646</v>
      </c>
      <c r="I56" s="251">
        <v>43921</v>
      </c>
      <c r="J56" s="251">
        <v>43830</v>
      </c>
      <c r="K56" s="251">
        <v>43738</v>
      </c>
      <c r="L56" s="251">
        <v>43373</v>
      </c>
      <c r="M56" s="251">
        <v>43738</v>
      </c>
      <c r="N56" s="251">
        <v>43373</v>
      </c>
      <c r="O56" s="251">
        <v>43281</v>
      </c>
      <c r="P56" s="251">
        <v>43281</v>
      </c>
      <c r="Q56" s="251">
        <v>43555</v>
      </c>
      <c r="R56" s="251">
        <v>43190</v>
      </c>
      <c r="S56" s="251">
        <v>43465</v>
      </c>
      <c r="T56" s="251">
        <v>43100</v>
      </c>
    </row>
    <row r="57" spans="2:16378">
      <c r="B57" s="191" t="s">
        <v>1128</v>
      </c>
      <c r="C57" s="454"/>
      <c r="D57" s="192"/>
      <c r="E57" s="192">
        <f>ROUND(VLOOKUP($B57,BP!$B:$XFD,MATCH(E$56,BP!$B$3:$XFD$3,0),FALSE),-3)</f>
        <v>460043000</v>
      </c>
      <c r="F57" s="192">
        <f>ROUND(VLOOKUP($B57,BP!$B:$XFD,MATCH(F$56,BP!$B$3:$XFD$3,0),FALSE),-3)</f>
        <v>446460000</v>
      </c>
      <c r="G57" s="192">
        <f>ROUND(VLOOKUP($B57,BP!$B:$XFD,MATCH(G$56,BP!$B$3:$XFD$3,0),FALSE),-3)</f>
        <v>460043000</v>
      </c>
      <c r="H57" s="192">
        <f>ROUND(VLOOKUP($B57,BP!$B:$XFD,MATCH(H$56,BP!$B$3:$XFD$3,0),FALSE),-3)</f>
        <v>446460000</v>
      </c>
      <c r="I57" s="192">
        <f>ROUND(VLOOKUP($B57,BP!$B:$XFD,MATCH(I$56,BP!$B$3:$XFD$3,0),FALSE),-3)</f>
        <v>444925000</v>
      </c>
      <c r="J57" s="192">
        <f>ROUND(VLOOKUP($B57,BP!$B:$XFD,MATCH(J$56,BP!$B$3:$XFD$3,0),FALSE),-3)</f>
        <v>440514000</v>
      </c>
      <c r="K57" s="192">
        <f>ROUND(VLOOKUP($B57,BP!$B:$XFD,MATCH(K$56,BP!$B$3:$XFD$3,0),FALSE),-3)</f>
        <v>434801000</v>
      </c>
      <c r="L57" s="192">
        <v>572089000</v>
      </c>
      <c r="M57" s="192">
        <f>ROUND(VLOOKUP($B57,BP!$B:$XFD,MATCH(M$56,BP!$B$3:$XFD$3,0),FALSE),-3)</f>
        <v>434801000</v>
      </c>
      <c r="N57" s="192">
        <v>572089000</v>
      </c>
      <c r="O57" s="192">
        <v>619909000</v>
      </c>
      <c r="P57" s="192">
        <v>619909000</v>
      </c>
      <c r="Q57" s="192">
        <f>ROUND(VLOOKUP($B57,BP!$B:$XFD,MATCH(Q$56,BP!$B$3:$XFD$3,0),FALSE),-3)</f>
        <v>528131000</v>
      </c>
      <c r="R57" s="192">
        <v>629481000</v>
      </c>
      <c r="S57" s="192">
        <f>ROUND(VLOOKUP($B57,BP!$B:$XFD,MATCH(S$56,BP!$B$3:$XFD$3,0),FALSE),-3)</f>
        <v>539947000</v>
      </c>
      <c r="T57" s="192">
        <f>ROUND(VLOOKUP($B57,BP!$B:$XFD,MATCH(T$56,BP!$B$3:$XFD$3,0),FALSE),-3)</f>
        <v>636817000</v>
      </c>
    </row>
    <row r="58" spans="2:16378">
      <c r="B58" s="193" t="s">
        <v>1294</v>
      </c>
      <c r="C58" s="455"/>
      <c r="D58" s="194"/>
      <c r="E58" s="194">
        <f t="shared" ref="E58:T58" si="20">E52-E57</f>
        <v>0</v>
      </c>
      <c r="F58" s="194">
        <f t="shared" si="20"/>
        <v>0</v>
      </c>
      <c r="G58" s="194">
        <f t="shared" si="20"/>
        <v>0</v>
      </c>
      <c r="H58" s="194">
        <f t="shared" si="20"/>
        <v>0</v>
      </c>
      <c r="I58" s="194">
        <f t="shared" si="20"/>
        <v>0</v>
      </c>
      <c r="J58" s="194">
        <f t="shared" si="20"/>
        <v>1000</v>
      </c>
      <c r="K58" s="194">
        <f t="shared" si="20"/>
        <v>1000</v>
      </c>
      <c r="L58" s="194">
        <f t="shared" si="20"/>
        <v>0</v>
      </c>
      <c r="M58" s="194">
        <f t="shared" si="20"/>
        <v>0</v>
      </c>
      <c r="N58" s="194">
        <f t="shared" si="20"/>
        <v>0</v>
      </c>
      <c r="O58" s="194">
        <f t="shared" si="20"/>
        <v>0</v>
      </c>
      <c r="P58" s="194">
        <f t="shared" si="20"/>
        <v>0</v>
      </c>
      <c r="Q58" s="194">
        <f t="shared" si="20"/>
        <v>0</v>
      </c>
      <c r="R58" s="194">
        <f t="shared" si="20"/>
        <v>0</v>
      </c>
      <c r="S58" s="194">
        <f t="shared" si="20"/>
        <v>-1000</v>
      </c>
      <c r="T58" s="194">
        <f t="shared" si="20"/>
        <v>1000</v>
      </c>
    </row>
    <row r="60" spans="2:16378"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  <c r="CF60" s="250"/>
      <c r="CG60" s="250"/>
      <c r="CH60" s="250"/>
      <c r="CI60" s="250"/>
      <c r="CJ60" s="250"/>
      <c r="CK60" s="250"/>
      <c r="CL60" s="250"/>
      <c r="CM60" s="250"/>
      <c r="CN60" s="250"/>
      <c r="CO60" s="250"/>
      <c r="CP60" s="250"/>
      <c r="CQ60" s="250"/>
      <c r="CR60" s="250"/>
      <c r="CS60" s="250"/>
      <c r="CT60" s="250"/>
      <c r="CU60" s="250"/>
      <c r="CV60" s="250"/>
      <c r="CW60" s="250"/>
      <c r="CX60" s="250"/>
      <c r="CY60" s="250"/>
      <c r="CZ60" s="250"/>
      <c r="DA60" s="250"/>
      <c r="DB60" s="250"/>
      <c r="DC60" s="250"/>
      <c r="DD60" s="250"/>
      <c r="DE60" s="250"/>
      <c r="DF60" s="250"/>
      <c r="DG60" s="250"/>
      <c r="DH60" s="250"/>
      <c r="DI60" s="250"/>
      <c r="DJ60" s="250"/>
      <c r="DK60" s="250"/>
      <c r="DL60" s="250"/>
      <c r="DM60" s="250"/>
      <c r="DN60" s="250"/>
      <c r="DO60" s="250"/>
      <c r="DP60" s="250"/>
      <c r="DQ60" s="250"/>
      <c r="DR60" s="250"/>
      <c r="DS60" s="250"/>
      <c r="DT60" s="250"/>
      <c r="DU60" s="250"/>
      <c r="DV60" s="250"/>
      <c r="DW60" s="250"/>
      <c r="DX60" s="250"/>
      <c r="DY60" s="250"/>
      <c r="DZ60" s="250"/>
      <c r="EA60" s="250"/>
      <c r="EB60" s="250"/>
      <c r="EC60" s="250"/>
      <c r="ED60" s="250"/>
      <c r="EE60" s="250"/>
      <c r="EF60" s="250"/>
      <c r="EG60" s="250"/>
      <c r="EH60" s="250"/>
      <c r="EI60" s="250"/>
      <c r="EJ60" s="250"/>
      <c r="EK60" s="250"/>
      <c r="EL60" s="250"/>
      <c r="EM60" s="250"/>
      <c r="EN60" s="250"/>
      <c r="EO60" s="250"/>
      <c r="EP60" s="250"/>
      <c r="EQ60" s="250"/>
      <c r="ER60" s="250"/>
      <c r="ES60" s="250"/>
      <c r="ET60" s="250"/>
      <c r="EU60" s="250"/>
      <c r="EV60" s="250"/>
      <c r="EW60" s="250"/>
      <c r="EX60" s="250"/>
      <c r="EY60" s="250"/>
      <c r="EZ60" s="250"/>
      <c r="FA60" s="250"/>
      <c r="FB60" s="250"/>
      <c r="FC60" s="250"/>
      <c r="FD60" s="250"/>
      <c r="FE60" s="250"/>
      <c r="FF60" s="250"/>
      <c r="FG60" s="250"/>
      <c r="FH60" s="250"/>
      <c r="FI60" s="250"/>
      <c r="FJ60" s="250"/>
      <c r="FK60" s="250"/>
      <c r="FL60" s="250"/>
      <c r="FM60" s="250"/>
      <c r="FN60" s="250"/>
      <c r="FO60" s="250"/>
      <c r="FP60" s="250"/>
      <c r="FQ60" s="250"/>
      <c r="FR60" s="250"/>
      <c r="FS60" s="250"/>
      <c r="FT60" s="250"/>
      <c r="FU60" s="250"/>
      <c r="FV60" s="250"/>
      <c r="FW60" s="250"/>
      <c r="FX60" s="250"/>
      <c r="FY60" s="250"/>
      <c r="FZ60" s="250"/>
      <c r="GA60" s="250"/>
      <c r="GB60" s="250"/>
      <c r="GC60" s="250"/>
      <c r="GD60" s="250"/>
      <c r="GE60" s="250"/>
      <c r="GF60" s="250"/>
      <c r="GG60" s="250"/>
      <c r="GH60" s="250"/>
      <c r="GI60" s="250"/>
      <c r="GJ60" s="250"/>
      <c r="GK60" s="250"/>
      <c r="GL60" s="250"/>
      <c r="GM60" s="250"/>
      <c r="GN60" s="250"/>
      <c r="GO60" s="250"/>
      <c r="GP60" s="250"/>
      <c r="GQ60" s="250"/>
      <c r="GR60" s="250"/>
      <c r="GS60" s="250"/>
      <c r="GT60" s="250"/>
      <c r="GU60" s="250"/>
      <c r="GV60" s="250"/>
      <c r="GW60" s="250"/>
      <c r="GX60" s="250"/>
      <c r="GY60" s="250"/>
      <c r="GZ60" s="250"/>
      <c r="HA60" s="250"/>
      <c r="HB60" s="250"/>
      <c r="HC60" s="250"/>
      <c r="HD60" s="250"/>
      <c r="HE60" s="250"/>
      <c r="HF60" s="250"/>
      <c r="HG60" s="250"/>
      <c r="HH60" s="250"/>
      <c r="HI60" s="250"/>
      <c r="HJ60" s="250"/>
      <c r="HK60" s="250"/>
      <c r="HL60" s="250"/>
      <c r="HM60" s="250"/>
      <c r="HN60" s="250"/>
      <c r="HO60" s="250"/>
      <c r="HP60" s="250"/>
      <c r="HQ60" s="250"/>
      <c r="HR60" s="250"/>
      <c r="HS60" s="250"/>
      <c r="HT60" s="250"/>
      <c r="HU60" s="250"/>
      <c r="HV60" s="250"/>
      <c r="HW60" s="250"/>
      <c r="HX60" s="250"/>
      <c r="HY60" s="250"/>
      <c r="HZ60" s="250"/>
      <c r="IA60" s="250"/>
      <c r="IB60" s="250"/>
      <c r="IC60" s="250"/>
      <c r="ID60" s="250"/>
      <c r="IE60" s="250"/>
      <c r="IF60" s="250"/>
      <c r="IG60" s="250"/>
      <c r="IH60" s="250"/>
      <c r="II60" s="250"/>
      <c r="IJ60" s="250"/>
      <c r="IK60" s="250"/>
      <c r="IL60" s="250"/>
      <c r="IM60" s="250"/>
      <c r="IN60" s="250"/>
      <c r="IO60" s="250"/>
      <c r="IP60" s="250"/>
      <c r="IQ60" s="250"/>
      <c r="IR60" s="250"/>
      <c r="IS60" s="250"/>
      <c r="IT60" s="250"/>
      <c r="IU60" s="250"/>
      <c r="IV60" s="250"/>
      <c r="IW60" s="250"/>
      <c r="IX60" s="250"/>
      <c r="IY60" s="250"/>
      <c r="IZ60" s="250"/>
      <c r="JA60" s="250"/>
      <c r="JB60" s="250"/>
      <c r="JC60" s="250"/>
      <c r="JD60" s="250"/>
      <c r="JE60" s="250"/>
      <c r="JF60" s="250"/>
      <c r="JG60" s="250"/>
      <c r="JH60" s="250"/>
      <c r="JI60" s="250"/>
      <c r="JJ60" s="250"/>
      <c r="JK60" s="250"/>
      <c r="JL60" s="250"/>
      <c r="JM60" s="250"/>
      <c r="JN60" s="250"/>
      <c r="JO60" s="250"/>
      <c r="JP60" s="250"/>
      <c r="JQ60" s="250"/>
      <c r="JR60" s="250"/>
      <c r="JS60" s="250"/>
      <c r="JT60" s="250"/>
      <c r="JU60" s="250"/>
      <c r="JV60" s="250"/>
      <c r="JW60" s="250"/>
      <c r="JX60" s="250"/>
      <c r="JY60" s="250"/>
      <c r="JZ60" s="250"/>
      <c r="KA60" s="250"/>
      <c r="KB60" s="250"/>
      <c r="KC60" s="250"/>
      <c r="KD60" s="250"/>
      <c r="KE60" s="250"/>
      <c r="KF60" s="250"/>
      <c r="KG60" s="250"/>
      <c r="KH60" s="250"/>
      <c r="KI60" s="250"/>
      <c r="KJ60" s="250"/>
      <c r="KK60" s="250"/>
      <c r="KL60" s="250"/>
      <c r="KM60" s="250"/>
      <c r="KN60" s="250"/>
      <c r="KO60" s="250"/>
      <c r="KP60" s="250"/>
      <c r="KQ60" s="250"/>
      <c r="KR60" s="250"/>
      <c r="KS60" s="250"/>
      <c r="KT60" s="250"/>
      <c r="KU60" s="250"/>
      <c r="KV60" s="250"/>
      <c r="KW60" s="250"/>
      <c r="KX60" s="250"/>
      <c r="KY60" s="250"/>
      <c r="KZ60" s="250"/>
      <c r="LA60" s="250"/>
      <c r="LB60" s="250"/>
      <c r="LC60" s="250"/>
      <c r="LD60" s="250"/>
      <c r="LE60" s="250"/>
      <c r="LF60" s="250"/>
      <c r="LG60" s="250"/>
      <c r="LH60" s="250"/>
      <c r="LI60" s="250"/>
      <c r="LJ60" s="250"/>
      <c r="LK60" s="250"/>
      <c r="LL60" s="250"/>
      <c r="LM60" s="250"/>
      <c r="LN60" s="250"/>
      <c r="LO60" s="250"/>
      <c r="LP60" s="250"/>
      <c r="LQ60" s="250"/>
      <c r="LR60" s="250"/>
      <c r="LS60" s="250"/>
      <c r="LT60" s="250"/>
      <c r="LU60" s="250"/>
      <c r="LV60" s="250"/>
      <c r="LW60" s="250"/>
      <c r="LX60" s="250"/>
      <c r="LY60" s="250"/>
      <c r="LZ60" s="250"/>
      <c r="MA60" s="250"/>
      <c r="MB60" s="250"/>
      <c r="MC60" s="250"/>
      <c r="MD60" s="250"/>
      <c r="ME60" s="250"/>
      <c r="MF60" s="250"/>
      <c r="MG60" s="250"/>
      <c r="MH60" s="250"/>
      <c r="MI60" s="250"/>
      <c r="MJ60" s="250"/>
      <c r="MK60" s="250"/>
      <c r="ML60" s="250"/>
      <c r="MM60" s="250"/>
      <c r="MN60" s="250"/>
      <c r="MO60" s="250"/>
      <c r="MP60" s="250"/>
      <c r="MQ60" s="250"/>
      <c r="MR60" s="250"/>
      <c r="MS60" s="250"/>
      <c r="MT60" s="250"/>
      <c r="MU60" s="250"/>
      <c r="MV60" s="250"/>
      <c r="MW60" s="250"/>
      <c r="MX60" s="250"/>
      <c r="MY60" s="250"/>
      <c r="MZ60" s="250"/>
      <c r="NA60" s="250"/>
      <c r="NB60" s="250"/>
      <c r="NC60" s="250"/>
      <c r="ND60" s="250"/>
      <c r="NE60" s="250"/>
      <c r="NF60" s="250"/>
      <c r="NG60" s="250"/>
      <c r="NH60" s="250"/>
      <c r="NI60" s="250"/>
      <c r="NJ60" s="250"/>
      <c r="NK60" s="250"/>
      <c r="NL60" s="250"/>
      <c r="NM60" s="250"/>
      <c r="NN60" s="250"/>
      <c r="NO60" s="250"/>
      <c r="NP60" s="250"/>
      <c r="NQ60" s="250"/>
      <c r="NR60" s="250"/>
      <c r="NS60" s="250"/>
      <c r="NT60" s="250"/>
      <c r="NU60" s="250"/>
      <c r="NV60" s="250"/>
      <c r="NW60" s="250"/>
      <c r="NX60" s="250"/>
      <c r="NY60" s="250"/>
      <c r="NZ60" s="250"/>
      <c r="OA60" s="250"/>
      <c r="OB60" s="250"/>
      <c r="OC60" s="250"/>
      <c r="OD60" s="250"/>
      <c r="OE60" s="250"/>
      <c r="OF60" s="250"/>
      <c r="OG60" s="250"/>
      <c r="OH60" s="250"/>
      <c r="OI60" s="250"/>
      <c r="OJ60" s="250"/>
      <c r="OK60" s="250"/>
      <c r="OL60" s="250"/>
      <c r="OM60" s="250"/>
      <c r="ON60" s="250"/>
      <c r="OO60" s="250"/>
      <c r="OP60" s="250"/>
      <c r="OQ60" s="250"/>
      <c r="OR60" s="250"/>
      <c r="OS60" s="250"/>
      <c r="OT60" s="250"/>
      <c r="OU60" s="250"/>
      <c r="OV60" s="250"/>
      <c r="OW60" s="250"/>
      <c r="OX60" s="250"/>
      <c r="OY60" s="250"/>
      <c r="OZ60" s="250"/>
      <c r="PA60" s="250"/>
      <c r="PB60" s="250"/>
      <c r="PC60" s="250"/>
      <c r="PD60" s="250"/>
      <c r="PE60" s="250"/>
      <c r="PF60" s="250"/>
      <c r="PG60" s="250"/>
      <c r="PH60" s="250"/>
      <c r="PI60" s="250"/>
      <c r="PJ60" s="250"/>
      <c r="PK60" s="250"/>
      <c r="PL60" s="250"/>
      <c r="PM60" s="250"/>
      <c r="PN60" s="250"/>
      <c r="PO60" s="250"/>
      <c r="PP60" s="250"/>
      <c r="PQ60" s="250"/>
      <c r="PR60" s="250"/>
      <c r="PS60" s="250"/>
      <c r="PT60" s="250"/>
      <c r="PU60" s="250"/>
      <c r="PV60" s="250"/>
      <c r="PW60" s="250"/>
      <c r="PX60" s="250"/>
      <c r="PY60" s="250"/>
      <c r="PZ60" s="250"/>
      <c r="QA60" s="250"/>
      <c r="QB60" s="250"/>
      <c r="QC60" s="250"/>
      <c r="QD60" s="250"/>
      <c r="QE60" s="250"/>
      <c r="QF60" s="250"/>
      <c r="QG60" s="250"/>
      <c r="QH60" s="250"/>
      <c r="QI60" s="250"/>
      <c r="QJ60" s="250"/>
      <c r="QK60" s="250"/>
      <c r="QL60" s="250"/>
      <c r="QM60" s="250"/>
      <c r="QN60" s="250"/>
      <c r="QO60" s="250"/>
      <c r="QP60" s="250"/>
      <c r="QQ60" s="250"/>
      <c r="QR60" s="250"/>
      <c r="QS60" s="250"/>
      <c r="QT60" s="250"/>
      <c r="QU60" s="250"/>
      <c r="QV60" s="250"/>
      <c r="QW60" s="250"/>
      <c r="QX60" s="250"/>
      <c r="QY60" s="250"/>
      <c r="QZ60" s="250"/>
      <c r="RA60" s="250"/>
      <c r="RB60" s="250"/>
      <c r="RC60" s="250"/>
      <c r="RD60" s="250"/>
      <c r="RE60" s="250"/>
      <c r="RF60" s="250"/>
      <c r="RG60" s="250"/>
      <c r="RH60" s="250"/>
      <c r="RI60" s="250"/>
      <c r="RJ60" s="250"/>
      <c r="RK60" s="250"/>
      <c r="RL60" s="250"/>
      <c r="RM60" s="250"/>
      <c r="RN60" s="250"/>
      <c r="RO60" s="250"/>
      <c r="RP60" s="250"/>
      <c r="RQ60" s="250"/>
      <c r="RR60" s="250"/>
      <c r="RS60" s="250"/>
      <c r="RT60" s="250"/>
      <c r="RU60" s="250"/>
      <c r="RV60" s="250"/>
      <c r="RW60" s="250"/>
      <c r="RX60" s="250"/>
      <c r="RY60" s="250"/>
      <c r="RZ60" s="250"/>
      <c r="SA60" s="250"/>
      <c r="SB60" s="250"/>
      <c r="SC60" s="250"/>
      <c r="SD60" s="250"/>
      <c r="SE60" s="250"/>
      <c r="SF60" s="250"/>
      <c r="SG60" s="250"/>
      <c r="SH60" s="250"/>
      <c r="SI60" s="250"/>
      <c r="SJ60" s="250"/>
      <c r="SK60" s="250"/>
      <c r="SL60" s="250"/>
      <c r="SM60" s="250"/>
      <c r="SN60" s="250"/>
      <c r="SO60" s="250"/>
      <c r="SP60" s="250"/>
      <c r="SQ60" s="250"/>
      <c r="SR60" s="250"/>
      <c r="SS60" s="250"/>
      <c r="ST60" s="250"/>
      <c r="SU60" s="250"/>
      <c r="SV60" s="250"/>
      <c r="SW60" s="250"/>
      <c r="SX60" s="250"/>
      <c r="SY60" s="250"/>
      <c r="SZ60" s="250"/>
      <c r="TA60" s="250"/>
      <c r="TB60" s="250"/>
      <c r="TC60" s="250"/>
      <c r="TD60" s="250"/>
      <c r="TE60" s="250"/>
      <c r="TF60" s="250"/>
      <c r="TG60" s="250"/>
      <c r="TH60" s="250"/>
      <c r="TI60" s="250"/>
      <c r="TJ60" s="250"/>
      <c r="TK60" s="250"/>
      <c r="TL60" s="250"/>
      <c r="TM60" s="250"/>
      <c r="TN60" s="250"/>
      <c r="TO60" s="250"/>
      <c r="TP60" s="250"/>
      <c r="TQ60" s="250"/>
      <c r="TR60" s="250"/>
      <c r="TS60" s="250"/>
      <c r="TT60" s="250"/>
      <c r="TU60" s="250"/>
      <c r="TV60" s="250"/>
      <c r="TW60" s="250"/>
      <c r="TX60" s="250"/>
      <c r="TY60" s="250"/>
      <c r="TZ60" s="250"/>
      <c r="UA60" s="250"/>
      <c r="UB60" s="250"/>
      <c r="UC60" s="250"/>
      <c r="UD60" s="250"/>
      <c r="UE60" s="250"/>
      <c r="UF60" s="250"/>
      <c r="UG60" s="250"/>
      <c r="UH60" s="250"/>
      <c r="UI60" s="250"/>
      <c r="UJ60" s="250"/>
      <c r="UK60" s="250"/>
      <c r="UL60" s="250"/>
      <c r="UM60" s="250"/>
      <c r="UN60" s="250"/>
      <c r="UO60" s="250"/>
      <c r="UP60" s="250"/>
      <c r="UQ60" s="250"/>
      <c r="UR60" s="250"/>
      <c r="US60" s="250"/>
      <c r="UT60" s="250"/>
      <c r="UU60" s="250"/>
      <c r="UV60" s="250"/>
      <c r="UW60" s="250"/>
      <c r="UX60" s="250"/>
      <c r="UY60" s="250"/>
      <c r="UZ60" s="250"/>
      <c r="VA60" s="250"/>
      <c r="VB60" s="250"/>
      <c r="VC60" s="250"/>
      <c r="VD60" s="250"/>
      <c r="VE60" s="250"/>
      <c r="VF60" s="250"/>
      <c r="VG60" s="250"/>
      <c r="VH60" s="250"/>
      <c r="VI60" s="250"/>
      <c r="VJ60" s="250"/>
      <c r="VK60" s="250"/>
      <c r="VL60" s="250"/>
      <c r="VM60" s="250"/>
      <c r="VN60" s="250"/>
      <c r="VO60" s="250"/>
      <c r="VP60" s="250"/>
      <c r="VQ60" s="250"/>
      <c r="VR60" s="250"/>
      <c r="VS60" s="250"/>
      <c r="VT60" s="250"/>
      <c r="VU60" s="250"/>
      <c r="VV60" s="250"/>
      <c r="VW60" s="250"/>
      <c r="VX60" s="250"/>
      <c r="VY60" s="250"/>
      <c r="VZ60" s="250"/>
      <c r="WA60" s="250"/>
      <c r="WB60" s="250"/>
      <c r="WC60" s="250"/>
      <c r="WD60" s="250"/>
      <c r="WE60" s="250"/>
      <c r="WF60" s="250"/>
      <c r="WG60" s="250"/>
      <c r="WH60" s="250"/>
      <c r="WI60" s="250"/>
      <c r="WJ60" s="250"/>
      <c r="WK60" s="250"/>
      <c r="WL60" s="250"/>
      <c r="WM60" s="250"/>
      <c r="WN60" s="250"/>
      <c r="WO60" s="250"/>
      <c r="WP60" s="250"/>
      <c r="WQ60" s="250"/>
      <c r="WR60" s="250"/>
      <c r="WS60" s="250"/>
      <c r="WT60" s="250"/>
      <c r="WU60" s="250"/>
      <c r="WV60" s="250"/>
      <c r="WW60" s="250"/>
      <c r="WX60" s="250"/>
      <c r="WY60" s="250"/>
      <c r="WZ60" s="250"/>
      <c r="XA60" s="250"/>
      <c r="XB60" s="250"/>
      <c r="XC60" s="250"/>
      <c r="XD60" s="250"/>
      <c r="XE60" s="250"/>
      <c r="XF60" s="250"/>
      <c r="XG60" s="250"/>
      <c r="XH60" s="250"/>
      <c r="XI60" s="250"/>
      <c r="XJ60" s="250"/>
      <c r="XK60" s="250"/>
      <c r="XL60" s="250"/>
      <c r="XM60" s="250"/>
      <c r="XN60" s="250"/>
      <c r="XO60" s="250"/>
      <c r="XP60" s="250"/>
      <c r="XQ60" s="250"/>
      <c r="XR60" s="250"/>
      <c r="XS60" s="250"/>
      <c r="XT60" s="250"/>
      <c r="XU60" s="250"/>
      <c r="XV60" s="250"/>
      <c r="XW60" s="250"/>
      <c r="XX60" s="250"/>
      <c r="XY60" s="250"/>
      <c r="XZ60" s="250"/>
      <c r="YA60" s="250"/>
      <c r="YB60" s="250"/>
      <c r="YC60" s="250"/>
      <c r="YD60" s="250"/>
      <c r="YE60" s="250"/>
      <c r="YF60" s="250"/>
      <c r="YG60" s="250"/>
      <c r="YH60" s="250"/>
      <c r="YI60" s="250"/>
      <c r="YJ60" s="250"/>
      <c r="YK60" s="250"/>
      <c r="YL60" s="250"/>
      <c r="YM60" s="250"/>
      <c r="YN60" s="250"/>
      <c r="YO60" s="250"/>
      <c r="YP60" s="250"/>
      <c r="YQ60" s="250"/>
      <c r="YR60" s="250"/>
      <c r="YS60" s="250"/>
      <c r="YT60" s="250"/>
      <c r="YU60" s="250"/>
      <c r="YV60" s="250"/>
      <c r="YW60" s="250"/>
      <c r="YX60" s="250"/>
      <c r="YY60" s="250"/>
      <c r="YZ60" s="250"/>
      <c r="ZA60" s="250"/>
      <c r="ZB60" s="250"/>
      <c r="ZC60" s="250"/>
      <c r="ZD60" s="250"/>
      <c r="ZE60" s="250"/>
      <c r="ZF60" s="250"/>
      <c r="ZG60" s="250"/>
      <c r="ZH60" s="250"/>
      <c r="ZI60" s="250"/>
      <c r="ZJ60" s="250"/>
      <c r="ZK60" s="250"/>
      <c r="ZL60" s="250"/>
      <c r="ZM60" s="250"/>
      <c r="ZN60" s="250"/>
      <c r="ZO60" s="250"/>
      <c r="ZP60" s="250"/>
      <c r="ZQ60" s="250"/>
      <c r="ZR60" s="250"/>
      <c r="ZS60" s="250"/>
      <c r="ZT60" s="250"/>
      <c r="ZU60" s="250"/>
      <c r="ZV60" s="250"/>
      <c r="ZW60" s="250"/>
      <c r="ZX60" s="250"/>
      <c r="ZY60" s="250"/>
      <c r="ZZ60" s="250"/>
      <c r="AAA60" s="250"/>
      <c r="AAB60" s="250"/>
      <c r="AAC60" s="250"/>
      <c r="AAD60" s="250"/>
      <c r="AAE60" s="250"/>
      <c r="AAF60" s="250"/>
      <c r="AAG60" s="250"/>
      <c r="AAH60" s="250"/>
      <c r="AAI60" s="250"/>
      <c r="AAJ60" s="250"/>
      <c r="AAK60" s="250"/>
      <c r="AAL60" s="250"/>
      <c r="AAM60" s="250"/>
      <c r="AAN60" s="250"/>
      <c r="AAO60" s="250"/>
      <c r="AAP60" s="250"/>
      <c r="AAQ60" s="250"/>
      <c r="AAR60" s="250"/>
      <c r="AAS60" s="250"/>
      <c r="AAT60" s="250"/>
      <c r="AAU60" s="250"/>
      <c r="AAV60" s="250"/>
      <c r="AAW60" s="250"/>
      <c r="AAX60" s="250"/>
      <c r="AAY60" s="250"/>
      <c r="AAZ60" s="250"/>
      <c r="ABA60" s="250"/>
      <c r="ABB60" s="250"/>
      <c r="ABC60" s="250"/>
      <c r="ABD60" s="250"/>
      <c r="ABE60" s="250"/>
      <c r="ABF60" s="250"/>
      <c r="ABG60" s="250"/>
      <c r="ABH60" s="250"/>
      <c r="ABI60" s="250"/>
      <c r="ABJ60" s="250"/>
      <c r="ABK60" s="250"/>
      <c r="ABL60" s="250"/>
      <c r="ABM60" s="250"/>
      <c r="ABN60" s="250"/>
      <c r="ABO60" s="250"/>
      <c r="ABP60" s="250"/>
      <c r="ABQ60" s="250"/>
      <c r="ABR60" s="250"/>
      <c r="ABS60" s="250"/>
      <c r="ABT60" s="250"/>
      <c r="ABU60" s="250"/>
      <c r="ABV60" s="250"/>
      <c r="ABW60" s="250"/>
      <c r="ABX60" s="250"/>
      <c r="ABY60" s="250"/>
      <c r="ABZ60" s="250"/>
      <c r="ACA60" s="250"/>
      <c r="ACB60" s="250"/>
      <c r="ACC60" s="250"/>
      <c r="ACD60" s="250"/>
      <c r="ACE60" s="250"/>
      <c r="ACF60" s="250"/>
      <c r="ACG60" s="250"/>
      <c r="ACH60" s="250"/>
      <c r="ACI60" s="250"/>
      <c r="ACJ60" s="250"/>
      <c r="ACK60" s="250"/>
      <c r="ACL60" s="250"/>
      <c r="ACM60" s="250"/>
      <c r="ACN60" s="250"/>
      <c r="ACO60" s="250"/>
      <c r="ACP60" s="250"/>
      <c r="ACQ60" s="250"/>
      <c r="ACR60" s="250"/>
      <c r="ACS60" s="250"/>
      <c r="ACT60" s="250"/>
      <c r="ACU60" s="250"/>
      <c r="ACV60" s="250"/>
      <c r="ACW60" s="250"/>
      <c r="ACX60" s="250"/>
      <c r="ACY60" s="250"/>
      <c r="ACZ60" s="250"/>
      <c r="ADA60" s="250"/>
      <c r="ADB60" s="250"/>
      <c r="ADC60" s="250"/>
      <c r="ADD60" s="250"/>
      <c r="ADE60" s="250"/>
      <c r="ADF60" s="250"/>
      <c r="ADG60" s="250"/>
      <c r="ADH60" s="250"/>
      <c r="ADI60" s="250"/>
      <c r="ADJ60" s="250"/>
      <c r="ADK60" s="250"/>
      <c r="ADL60" s="250"/>
      <c r="ADM60" s="250"/>
      <c r="ADN60" s="250"/>
      <c r="ADO60" s="250"/>
      <c r="ADP60" s="250"/>
      <c r="ADQ60" s="250"/>
      <c r="ADR60" s="250"/>
      <c r="ADS60" s="250"/>
      <c r="ADT60" s="250"/>
      <c r="ADU60" s="250"/>
      <c r="ADV60" s="250"/>
      <c r="ADW60" s="250"/>
      <c r="ADX60" s="250"/>
      <c r="ADY60" s="250"/>
      <c r="ADZ60" s="250"/>
      <c r="AEA60" s="250"/>
      <c r="AEB60" s="250"/>
      <c r="AEC60" s="250"/>
      <c r="AED60" s="250"/>
      <c r="AEE60" s="250"/>
      <c r="AEF60" s="250"/>
      <c r="AEG60" s="250"/>
      <c r="AEH60" s="250"/>
      <c r="AEI60" s="250"/>
      <c r="AEJ60" s="250"/>
      <c r="AEK60" s="250"/>
      <c r="AEL60" s="250"/>
      <c r="AEM60" s="250"/>
      <c r="AEN60" s="250"/>
      <c r="AEO60" s="250"/>
      <c r="AEP60" s="250"/>
      <c r="AEQ60" s="250"/>
      <c r="AER60" s="250"/>
      <c r="AES60" s="250"/>
      <c r="AET60" s="250"/>
      <c r="AEU60" s="250"/>
      <c r="AEV60" s="250"/>
      <c r="AEW60" s="250"/>
      <c r="AEX60" s="250"/>
      <c r="AEY60" s="250"/>
      <c r="AEZ60" s="250"/>
      <c r="AFA60" s="250"/>
      <c r="AFB60" s="250"/>
      <c r="AFC60" s="250"/>
      <c r="AFD60" s="250"/>
      <c r="AFE60" s="250"/>
      <c r="AFF60" s="250"/>
      <c r="AFG60" s="250"/>
      <c r="AFH60" s="250"/>
      <c r="AFI60" s="250"/>
      <c r="AFJ60" s="250"/>
      <c r="AFK60" s="250"/>
      <c r="AFL60" s="250"/>
      <c r="AFM60" s="250"/>
      <c r="AFN60" s="250"/>
      <c r="AFO60" s="250"/>
      <c r="AFP60" s="250"/>
      <c r="AFQ60" s="250"/>
      <c r="AFR60" s="250"/>
      <c r="AFS60" s="250"/>
      <c r="AFT60" s="250"/>
      <c r="AFU60" s="250"/>
      <c r="AFV60" s="250"/>
      <c r="AFW60" s="250"/>
      <c r="AFX60" s="250"/>
      <c r="AFY60" s="250"/>
      <c r="AFZ60" s="250"/>
      <c r="AGA60" s="250"/>
      <c r="AGB60" s="250"/>
      <c r="AGC60" s="250"/>
      <c r="AGD60" s="250"/>
      <c r="AGE60" s="250"/>
      <c r="AGF60" s="250"/>
      <c r="AGG60" s="250"/>
      <c r="AGH60" s="250"/>
      <c r="AGI60" s="250"/>
      <c r="AGJ60" s="250"/>
      <c r="AGK60" s="250"/>
      <c r="AGL60" s="250"/>
      <c r="AGM60" s="250"/>
      <c r="AGN60" s="250"/>
      <c r="AGO60" s="250"/>
      <c r="AGP60" s="250"/>
      <c r="AGQ60" s="250"/>
      <c r="AGR60" s="250"/>
      <c r="AGS60" s="250"/>
      <c r="AGT60" s="250"/>
      <c r="AGU60" s="250"/>
      <c r="AGV60" s="250"/>
      <c r="AGW60" s="250"/>
      <c r="AGX60" s="250"/>
      <c r="AGY60" s="250"/>
      <c r="AGZ60" s="250"/>
      <c r="AHA60" s="250"/>
      <c r="AHB60" s="250"/>
      <c r="AHC60" s="250"/>
      <c r="AHD60" s="250"/>
      <c r="AHE60" s="250"/>
      <c r="AHF60" s="250"/>
      <c r="AHG60" s="250"/>
      <c r="AHH60" s="250"/>
      <c r="AHI60" s="250"/>
      <c r="AHJ60" s="250"/>
      <c r="AHK60" s="250"/>
      <c r="AHL60" s="250"/>
      <c r="AHM60" s="250"/>
      <c r="AHN60" s="250"/>
      <c r="AHO60" s="250"/>
      <c r="AHP60" s="250"/>
      <c r="AHQ60" s="250"/>
      <c r="AHR60" s="250"/>
      <c r="AHS60" s="250"/>
      <c r="AHT60" s="250"/>
      <c r="AHU60" s="250"/>
      <c r="AHV60" s="250"/>
      <c r="AHW60" s="250"/>
      <c r="AHX60" s="250"/>
      <c r="AHY60" s="250"/>
      <c r="AHZ60" s="250"/>
      <c r="AIA60" s="250"/>
      <c r="AIB60" s="250"/>
      <c r="AIC60" s="250"/>
      <c r="AID60" s="250"/>
      <c r="AIE60" s="250"/>
      <c r="AIF60" s="250"/>
      <c r="AIG60" s="250"/>
      <c r="AIH60" s="250"/>
      <c r="AII60" s="250"/>
      <c r="AIJ60" s="250"/>
      <c r="AIK60" s="250"/>
      <c r="AIL60" s="250"/>
      <c r="AIM60" s="250"/>
      <c r="AIN60" s="250"/>
      <c r="AIO60" s="250"/>
      <c r="AIP60" s="250"/>
      <c r="AIQ60" s="250"/>
      <c r="AIR60" s="250"/>
      <c r="AIS60" s="250"/>
      <c r="AIT60" s="250"/>
      <c r="AIU60" s="250"/>
      <c r="AIV60" s="250"/>
      <c r="AIW60" s="250"/>
      <c r="AIX60" s="250"/>
      <c r="AIY60" s="250"/>
      <c r="AIZ60" s="250"/>
      <c r="AJA60" s="250"/>
      <c r="AJB60" s="250"/>
      <c r="AJC60" s="250"/>
      <c r="AJD60" s="250"/>
      <c r="AJE60" s="250"/>
      <c r="AJF60" s="250"/>
      <c r="AJG60" s="250"/>
      <c r="AJH60" s="250"/>
      <c r="AJI60" s="250"/>
      <c r="AJJ60" s="250"/>
      <c r="AJK60" s="250"/>
      <c r="AJL60" s="250"/>
      <c r="AJM60" s="250"/>
      <c r="AJN60" s="250"/>
      <c r="AJO60" s="250"/>
      <c r="AJP60" s="250"/>
      <c r="AJQ60" s="250"/>
      <c r="AJR60" s="250"/>
      <c r="AJS60" s="250"/>
      <c r="AJT60" s="250"/>
      <c r="AJU60" s="250"/>
      <c r="AJV60" s="250"/>
      <c r="AJW60" s="250"/>
      <c r="AJX60" s="250"/>
      <c r="AJY60" s="250"/>
      <c r="AJZ60" s="250"/>
      <c r="AKA60" s="250"/>
      <c r="AKB60" s="250"/>
      <c r="AKC60" s="250"/>
      <c r="AKD60" s="250"/>
      <c r="AKE60" s="250"/>
      <c r="AKF60" s="250"/>
      <c r="AKG60" s="250"/>
      <c r="AKH60" s="250"/>
      <c r="AKI60" s="250"/>
      <c r="AKJ60" s="250"/>
      <c r="AKK60" s="250"/>
      <c r="AKL60" s="250"/>
      <c r="AKM60" s="250"/>
      <c r="AKN60" s="250"/>
      <c r="AKO60" s="250"/>
      <c r="AKP60" s="250"/>
      <c r="AKQ60" s="250"/>
      <c r="AKR60" s="250"/>
      <c r="AKS60" s="250"/>
      <c r="AKT60" s="250"/>
      <c r="AKU60" s="250"/>
      <c r="AKV60" s="250"/>
      <c r="AKW60" s="250"/>
      <c r="AKX60" s="250"/>
      <c r="AKY60" s="250"/>
      <c r="AKZ60" s="250"/>
      <c r="ALA60" s="250"/>
      <c r="ALB60" s="250"/>
      <c r="ALC60" s="250"/>
      <c r="ALD60" s="250"/>
      <c r="ALE60" s="250"/>
      <c r="ALF60" s="250"/>
      <c r="ALG60" s="250"/>
      <c r="ALH60" s="250"/>
      <c r="ALI60" s="250"/>
      <c r="ALJ60" s="250"/>
      <c r="ALK60" s="250"/>
      <c r="ALL60" s="250"/>
      <c r="ALM60" s="250"/>
      <c r="ALN60" s="250"/>
      <c r="ALO60" s="250"/>
      <c r="ALP60" s="250"/>
      <c r="ALQ60" s="250"/>
      <c r="ALR60" s="250"/>
      <c r="ALS60" s="250"/>
      <c r="ALT60" s="250"/>
      <c r="ALU60" s="250"/>
      <c r="ALV60" s="250"/>
      <c r="ALW60" s="250"/>
      <c r="ALX60" s="250"/>
      <c r="ALY60" s="250"/>
      <c r="ALZ60" s="250"/>
      <c r="AMA60" s="250"/>
      <c r="AMB60" s="250"/>
      <c r="AMC60" s="250"/>
      <c r="AMD60" s="250"/>
      <c r="AME60" s="250"/>
      <c r="AMF60" s="250"/>
      <c r="AMG60" s="250"/>
      <c r="AMH60" s="250"/>
      <c r="AMI60" s="250"/>
      <c r="AMJ60" s="250"/>
      <c r="AMK60" s="250"/>
      <c r="AML60" s="250"/>
      <c r="AMM60" s="250"/>
      <c r="AMN60" s="250"/>
      <c r="AMO60" s="250"/>
      <c r="AMP60" s="250"/>
      <c r="AMQ60" s="250"/>
      <c r="AMR60" s="250"/>
      <c r="AMS60" s="250"/>
      <c r="AMT60" s="250"/>
      <c r="AMU60" s="250"/>
      <c r="AMV60" s="250"/>
      <c r="AMW60" s="250"/>
      <c r="AMX60" s="250"/>
      <c r="AMY60" s="250"/>
      <c r="AMZ60" s="250"/>
      <c r="ANA60" s="250"/>
      <c r="ANB60" s="250"/>
      <c r="ANC60" s="250"/>
      <c r="AND60" s="250"/>
      <c r="ANE60" s="250"/>
      <c r="ANF60" s="250"/>
      <c r="ANG60" s="250"/>
      <c r="ANH60" s="250"/>
      <c r="ANI60" s="250"/>
      <c r="ANJ60" s="250"/>
      <c r="ANK60" s="250"/>
      <c r="ANL60" s="250"/>
      <c r="ANM60" s="250"/>
      <c r="ANN60" s="250"/>
      <c r="ANO60" s="250"/>
      <c r="ANP60" s="250"/>
      <c r="ANQ60" s="250"/>
      <c r="ANR60" s="250"/>
      <c r="ANS60" s="250"/>
      <c r="ANT60" s="250"/>
      <c r="ANU60" s="250"/>
      <c r="ANV60" s="250"/>
      <c r="ANW60" s="250"/>
      <c r="ANX60" s="250"/>
      <c r="ANY60" s="250"/>
      <c r="ANZ60" s="250"/>
      <c r="AOA60" s="250"/>
      <c r="AOB60" s="250"/>
      <c r="AOC60" s="250"/>
      <c r="AOD60" s="250"/>
      <c r="AOE60" s="250"/>
      <c r="AOF60" s="250"/>
      <c r="AOG60" s="250"/>
      <c r="AOH60" s="250"/>
      <c r="AOI60" s="250"/>
      <c r="AOJ60" s="250"/>
      <c r="AOK60" s="250"/>
      <c r="AOL60" s="250"/>
      <c r="AOM60" s="250"/>
      <c r="AON60" s="250"/>
      <c r="AOO60" s="250"/>
      <c r="AOP60" s="250"/>
      <c r="AOQ60" s="250"/>
      <c r="AOR60" s="250"/>
      <c r="AOS60" s="250"/>
      <c r="AOT60" s="250"/>
      <c r="AOU60" s="250"/>
      <c r="AOV60" s="250"/>
      <c r="AOW60" s="250"/>
      <c r="AOX60" s="250"/>
      <c r="AOY60" s="250"/>
      <c r="AOZ60" s="250"/>
      <c r="APA60" s="250"/>
      <c r="APB60" s="250"/>
      <c r="APC60" s="250"/>
      <c r="APD60" s="250"/>
      <c r="APE60" s="250"/>
      <c r="APF60" s="250"/>
      <c r="APG60" s="250"/>
      <c r="APH60" s="250"/>
      <c r="API60" s="250"/>
      <c r="APJ60" s="250"/>
      <c r="APK60" s="250"/>
      <c r="APL60" s="250"/>
      <c r="APM60" s="250"/>
      <c r="APN60" s="250"/>
      <c r="APO60" s="250"/>
      <c r="APP60" s="250"/>
      <c r="APQ60" s="250"/>
      <c r="APR60" s="250"/>
      <c r="APS60" s="250"/>
      <c r="APT60" s="250"/>
      <c r="APU60" s="250"/>
      <c r="APV60" s="250"/>
      <c r="APW60" s="250"/>
      <c r="APX60" s="250"/>
      <c r="APY60" s="250"/>
      <c r="APZ60" s="250"/>
      <c r="AQA60" s="250"/>
      <c r="AQB60" s="250"/>
      <c r="AQC60" s="250"/>
      <c r="AQD60" s="250"/>
      <c r="AQE60" s="250"/>
      <c r="AQF60" s="250"/>
      <c r="AQG60" s="250"/>
      <c r="AQH60" s="250"/>
      <c r="AQI60" s="250"/>
      <c r="AQJ60" s="250"/>
      <c r="AQK60" s="250"/>
      <c r="AQL60" s="250"/>
      <c r="AQM60" s="250"/>
      <c r="AQN60" s="250"/>
      <c r="AQO60" s="250"/>
      <c r="AQP60" s="250"/>
      <c r="AQQ60" s="250"/>
      <c r="AQR60" s="250"/>
      <c r="AQS60" s="250"/>
      <c r="AQT60" s="250"/>
      <c r="AQU60" s="250"/>
      <c r="AQV60" s="250"/>
      <c r="AQW60" s="250"/>
      <c r="AQX60" s="250"/>
      <c r="AQY60" s="250"/>
      <c r="AQZ60" s="250"/>
      <c r="ARA60" s="250"/>
      <c r="ARB60" s="250"/>
      <c r="ARC60" s="250"/>
      <c r="ARD60" s="250"/>
      <c r="ARE60" s="250"/>
      <c r="ARF60" s="250"/>
      <c r="ARG60" s="250"/>
      <c r="ARH60" s="250"/>
      <c r="ARI60" s="250"/>
      <c r="ARJ60" s="250"/>
      <c r="ARK60" s="250"/>
      <c r="ARL60" s="250"/>
      <c r="ARM60" s="250"/>
      <c r="ARN60" s="250"/>
      <c r="ARO60" s="250"/>
      <c r="ARP60" s="250"/>
      <c r="ARQ60" s="250"/>
      <c r="ARR60" s="250"/>
      <c r="ARS60" s="250"/>
      <c r="ART60" s="250"/>
      <c r="ARU60" s="250"/>
      <c r="ARV60" s="250"/>
      <c r="ARW60" s="250"/>
      <c r="ARX60" s="250"/>
      <c r="ARY60" s="250"/>
      <c r="ARZ60" s="250"/>
      <c r="ASA60" s="250"/>
      <c r="ASB60" s="250"/>
      <c r="ASC60" s="250"/>
      <c r="ASD60" s="250"/>
      <c r="ASE60" s="250"/>
      <c r="ASF60" s="250"/>
      <c r="ASG60" s="250"/>
      <c r="ASH60" s="250"/>
      <c r="ASI60" s="250"/>
      <c r="ASJ60" s="250"/>
      <c r="ASK60" s="250"/>
      <c r="ASL60" s="250"/>
      <c r="ASM60" s="250"/>
      <c r="ASN60" s="250"/>
      <c r="ASO60" s="250"/>
      <c r="ASP60" s="250"/>
      <c r="ASQ60" s="250"/>
      <c r="ASR60" s="250"/>
      <c r="ASS60" s="250"/>
      <c r="AST60" s="250"/>
      <c r="ASU60" s="250"/>
      <c r="ASV60" s="250"/>
      <c r="ASW60" s="250"/>
      <c r="ASX60" s="250"/>
      <c r="ASY60" s="250"/>
      <c r="ASZ60" s="250"/>
      <c r="ATA60" s="250"/>
      <c r="ATB60" s="250"/>
      <c r="ATC60" s="250"/>
      <c r="ATD60" s="250"/>
      <c r="ATE60" s="250"/>
      <c r="ATF60" s="250"/>
      <c r="ATG60" s="250"/>
      <c r="ATH60" s="250"/>
      <c r="ATI60" s="250"/>
      <c r="ATJ60" s="250"/>
      <c r="ATK60" s="250"/>
      <c r="ATL60" s="250"/>
      <c r="ATM60" s="250"/>
      <c r="ATN60" s="250"/>
      <c r="ATO60" s="250"/>
      <c r="ATP60" s="250"/>
      <c r="ATQ60" s="250"/>
      <c r="ATR60" s="250"/>
      <c r="ATS60" s="250"/>
      <c r="ATT60" s="250"/>
      <c r="ATU60" s="250"/>
      <c r="ATV60" s="250"/>
      <c r="ATW60" s="250"/>
      <c r="ATX60" s="250"/>
      <c r="ATY60" s="250"/>
      <c r="ATZ60" s="250"/>
      <c r="AUA60" s="250"/>
      <c r="AUB60" s="250"/>
      <c r="AUC60" s="250"/>
      <c r="AUD60" s="250"/>
      <c r="AUE60" s="250"/>
      <c r="AUF60" s="250"/>
      <c r="AUG60" s="250"/>
      <c r="AUH60" s="250"/>
      <c r="AUI60" s="250"/>
      <c r="AUJ60" s="250"/>
      <c r="AUK60" s="250"/>
      <c r="AUL60" s="250"/>
      <c r="AUM60" s="250"/>
      <c r="AUN60" s="250"/>
      <c r="AUO60" s="250"/>
      <c r="AUP60" s="250"/>
      <c r="AUQ60" s="250"/>
      <c r="AUR60" s="250"/>
      <c r="AUS60" s="250"/>
      <c r="AUT60" s="250"/>
      <c r="AUU60" s="250"/>
      <c r="AUV60" s="250"/>
      <c r="AUW60" s="250"/>
      <c r="AUX60" s="250"/>
      <c r="AUY60" s="250"/>
      <c r="AUZ60" s="250"/>
      <c r="AVA60" s="250"/>
      <c r="AVB60" s="250"/>
      <c r="AVC60" s="250"/>
      <c r="AVD60" s="250"/>
      <c r="AVE60" s="250"/>
      <c r="AVF60" s="250"/>
      <c r="AVG60" s="250"/>
      <c r="AVH60" s="250"/>
      <c r="AVI60" s="250"/>
      <c r="AVJ60" s="250"/>
      <c r="AVK60" s="250"/>
      <c r="AVL60" s="250"/>
      <c r="AVM60" s="250"/>
      <c r="AVN60" s="250"/>
      <c r="AVO60" s="250"/>
      <c r="AVP60" s="250"/>
      <c r="AVQ60" s="250"/>
      <c r="AVR60" s="250"/>
      <c r="AVS60" s="250"/>
      <c r="AVT60" s="250"/>
      <c r="AVU60" s="250"/>
      <c r="AVV60" s="250"/>
      <c r="AVW60" s="250"/>
      <c r="AVX60" s="250"/>
      <c r="AVY60" s="250"/>
      <c r="AVZ60" s="250"/>
      <c r="AWA60" s="250"/>
      <c r="AWB60" s="250"/>
      <c r="AWC60" s="250"/>
      <c r="AWD60" s="250"/>
      <c r="AWE60" s="250"/>
      <c r="AWF60" s="250"/>
      <c r="AWG60" s="250"/>
      <c r="AWH60" s="250"/>
      <c r="AWI60" s="250"/>
      <c r="AWJ60" s="250"/>
      <c r="AWK60" s="250"/>
      <c r="AWL60" s="250"/>
      <c r="AWM60" s="250"/>
      <c r="AWN60" s="250"/>
      <c r="AWO60" s="250"/>
      <c r="AWP60" s="250"/>
      <c r="AWQ60" s="250"/>
      <c r="AWR60" s="250"/>
      <c r="AWS60" s="250"/>
      <c r="AWT60" s="250"/>
      <c r="AWU60" s="250"/>
      <c r="AWV60" s="250"/>
      <c r="AWW60" s="250"/>
      <c r="AWX60" s="250"/>
      <c r="AWY60" s="250"/>
      <c r="AWZ60" s="250"/>
      <c r="AXA60" s="250"/>
      <c r="AXB60" s="250"/>
      <c r="AXC60" s="250"/>
      <c r="AXD60" s="250"/>
      <c r="AXE60" s="250"/>
      <c r="AXF60" s="250"/>
      <c r="AXG60" s="250"/>
      <c r="AXH60" s="250"/>
      <c r="AXI60" s="250"/>
      <c r="AXJ60" s="250"/>
      <c r="AXK60" s="250"/>
      <c r="AXL60" s="250"/>
      <c r="AXM60" s="250"/>
      <c r="AXN60" s="250"/>
      <c r="AXO60" s="250"/>
      <c r="AXP60" s="250"/>
      <c r="AXQ60" s="250"/>
      <c r="AXR60" s="250"/>
      <c r="AXS60" s="250"/>
      <c r="AXT60" s="250"/>
      <c r="AXU60" s="250"/>
      <c r="AXV60" s="250"/>
      <c r="AXW60" s="250"/>
      <c r="AXX60" s="250"/>
      <c r="AXY60" s="250"/>
      <c r="AXZ60" s="250"/>
      <c r="AYA60" s="250"/>
      <c r="AYB60" s="250"/>
      <c r="AYC60" s="250"/>
      <c r="AYD60" s="250"/>
      <c r="AYE60" s="250"/>
      <c r="AYF60" s="250"/>
      <c r="AYG60" s="250"/>
      <c r="AYH60" s="250"/>
      <c r="AYI60" s="250"/>
      <c r="AYJ60" s="250"/>
      <c r="AYK60" s="250"/>
      <c r="AYL60" s="250"/>
      <c r="AYM60" s="250"/>
      <c r="AYN60" s="250"/>
      <c r="AYO60" s="250"/>
      <c r="AYP60" s="250"/>
      <c r="AYQ60" s="250"/>
      <c r="AYR60" s="250"/>
      <c r="AYS60" s="250"/>
      <c r="AYT60" s="250"/>
      <c r="AYU60" s="250"/>
      <c r="AYV60" s="250"/>
      <c r="AYW60" s="250"/>
      <c r="AYX60" s="250"/>
      <c r="AYY60" s="250"/>
      <c r="AYZ60" s="250"/>
      <c r="AZA60" s="250"/>
      <c r="AZB60" s="250"/>
      <c r="AZC60" s="250"/>
      <c r="AZD60" s="250"/>
      <c r="AZE60" s="250"/>
      <c r="AZF60" s="250"/>
      <c r="AZG60" s="250"/>
      <c r="AZH60" s="250"/>
      <c r="AZI60" s="250"/>
      <c r="AZJ60" s="250"/>
      <c r="AZK60" s="250"/>
      <c r="AZL60" s="250"/>
      <c r="AZM60" s="250"/>
      <c r="AZN60" s="250"/>
      <c r="AZO60" s="250"/>
      <c r="AZP60" s="250"/>
      <c r="AZQ60" s="250"/>
      <c r="AZR60" s="250"/>
      <c r="AZS60" s="250"/>
      <c r="AZT60" s="250"/>
      <c r="AZU60" s="250"/>
      <c r="AZV60" s="250"/>
      <c r="AZW60" s="250"/>
      <c r="AZX60" s="250"/>
      <c r="AZY60" s="250"/>
      <c r="AZZ60" s="250"/>
      <c r="BAA60" s="250"/>
      <c r="BAB60" s="250"/>
      <c r="BAC60" s="250"/>
      <c r="BAD60" s="250"/>
      <c r="BAE60" s="250"/>
      <c r="BAF60" s="250"/>
      <c r="BAG60" s="250"/>
      <c r="BAH60" s="250"/>
      <c r="BAI60" s="250"/>
      <c r="BAJ60" s="250"/>
      <c r="BAK60" s="250"/>
      <c r="BAL60" s="250"/>
      <c r="BAM60" s="250"/>
      <c r="BAN60" s="250"/>
      <c r="BAO60" s="250"/>
      <c r="BAP60" s="250"/>
      <c r="BAQ60" s="250"/>
      <c r="BAR60" s="250"/>
      <c r="BAS60" s="250"/>
      <c r="BAT60" s="250"/>
      <c r="BAU60" s="250"/>
      <c r="BAV60" s="250"/>
      <c r="BAW60" s="250"/>
      <c r="BAX60" s="250"/>
      <c r="BAY60" s="250"/>
      <c r="BAZ60" s="250"/>
      <c r="BBA60" s="250"/>
      <c r="BBB60" s="250"/>
      <c r="BBC60" s="250"/>
      <c r="BBD60" s="250"/>
      <c r="BBE60" s="250"/>
      <c r="BBF60" s="250"/>
      <c r="BBG60" s="250"/>
      <c r="BBH60" s="250"/>
      <c r="BBI60" s="250"/>
      <c r="BBJ60" s="250"/>
      <c r="BBK60" s="250"/>
      <c r="BBL60" s="250"/>
      <c r="BBM60" s="250"/>
      <c r="BBN60" s="250"/>
      <c r="BBO60" s="250"/>
      <c r="BBP60" s="250"/>
      <c r="BBQ60" s="250"/>
      <c r="BBR60" s="250"/>
      <c r="BBS60" s="250"/>
      <c r="BBT60" s="250"/>
      <c r="BBU60" s="250"/>
      <c r="BBV60" s="250"/>
      <c r="BBW60" s="250"/>
      <c r="BBX60" s="250"/>
      <c r="BBY60" s="250"/>
      <c r="BBZ60" s="250"/>
      <c r="BCA60" s="250"/>
      <c r="BCB60" s="250"/>
      <c r="BCC60" s="250"/>
      <c r="BCD60" s="250"/>
      <c r="BCE60" s="250"/>
      <c r="BCF60" s="250"/>
      <c r="BCG60" s="250"/>
      <c r="BCH60" s="250"/>
      <c r="BCI60" s="250"/>
      <c r="BCJ60" s="250"/>
      <c r="BCK60" s="250"/>
      <c r="BCL60" s="250"/>
      <c r="BCM60" s="250"/>
      <c r="BCN60" s="250"/>
      <c r="BCO60" s="250"/>
      <c r="BCP60" s="250"/>
      <c r="BCQ60" s="250"/>
      <c r="BCR60" s="250"/>
      <c r="BCS60" s="250"/>
      <c r="BCT60" s="250"/>
      <c r="BCU60" s="250"/>
      <c r="BCV60" s="250"/>
      <c r="BCW60" s="250"/>
      <c r="BCX60" s="250"/>
      <c r="BCY60" s="250"/>
      <c r="BCZ60" s="250"/>
      <c r="BDA60" s="250"/>
      <c r="BDB60" s="250"/>
      <c r="BDC60" s="250"/>
      <c r="BDD60" s="250"/>
      <c r="BDE60" s="250"/>
      <c r="BDF60" s="250"/>
      <c r="BDG60" s="250"/>
      <c r="BDH60" s="250"/>
      <c r="BDI60" s="250"/>
      <c r="BDJ60" s="250"/>
      <c r="BDK60" s="250"/>
      <c r="BDL60" s="250"/>
      <c r="BDM60" s="250"/>
      <c r="BDN60" s="250"/>
      <c r="BDO60" s="250"/>
      <c r="BDP60" s="250"/>
      <c r="BDQ60" s="250"/>
      <c r="BDR60" s="250"/>
      <c r="BDS60" s="250"/>
      <c r="BDT60" s="250"/>
      <c r="BDU60" s="250"/>
      <c r="BDV60" s="250"/>
      <c r="BDW60" s="250"/>
      <c r="BDX60" s="250"/>
      <c r="BDY60" s="250"/>
      <c r="BDZ60" s="250"/>
      <c r="BEA60" s="250"/>
      <c r="BEB60" s="250"/>
      <c r="BEC60" s="250"/>
      <c r="BED60" s="250"/>
      <c r="BEE60" s="250"/>
      <c r="BEF60" s="250"/>
      <c r="BEG60" s="250"/>
      <c r="BEH60" s="250"/>
      <c r="BEI60" s="250"/>
      <c r="BEJ60" s="250"/>
      <c r="BEK60" s="250"/>
      <c r="BEL60" s="250"/>
      <c r="BEM60" s="250"/>
      <c r="BEN60" s="250"/>
      <c r="BEO60" s="250"/>
      <c r="BEP60" s="250"/>
      <c r="BEQ60" s="250"/>
      <c r="BER60" s="250"/>
      <c r="BES60" s="250"/>
      <c r="BET60" s="250"/>
      <c r="BEU60" s="250"/>
      <c r="BEV60" s="250"/>
      <c r="BEW60" s="250"/>
      <c r="BEX60" s="250"/>
      <c r="BEY60" s="250"/>
      <c r="BEZ60" s="250"/>
      <c r="BFA60" s="250"/>
      <c r="BFB60" s="250"/>
      <c r="BFC60" s="250"/>
      <c r="BFD60" s="250"/>
      <c r="BFE60" s="250"/>
      <c r="BFF60" s="250"/>
      <c r="BFG60" s="250"/>
      <c r="BFH60" s="250"/>
      <c r="BFI60" s="250"/>
      <c r="BFJ60" s="250"/>
      <c r="BFK60" s="250"/>
      <c r="BFL60" s="250"/>
      <c r="BFM60" s="250"/>
      <c r="BFN60" s="250"/>
      <c r="BFO60" s="250"/>
      <c r="BFP60" s="250"/>
      <c r="BFQ60" s="250"/>
      <c r="BFR60" s="250"/>
      <c r="BFS60" s="250"/>
      <c r="BFT60" s="250"/>
      <c r="BFU60" s="250"/>
      <c r="BFV60" s="250"/>
      <c r="BFW60" s="250"/>
      <c r="BFX60" s="250"/>
      <c r="BFY60" s="250"/>
      <c r="BFZ60" s="250"/>
      <c r="BGA60" s="250"/>
      <c r="BGB60" s="250"/>
      <c r="BGC60" s="250"/>
      <c r="BGD60" s="250"/>
      <c r="BGE60" s="250"/>
      <c r="BGF60" s="250"/>
      <c r="BGG60" s="250"/>
      <c r="BGH60" s="250"/>
      <c r="BGI60" s="250"/>
      <c r="BGJ60" s="250"/>
      <c r="BGK60" s="250"/>
      <c r="BGL60" s="250"/>
      <c r="BGM60" s="250"/>
      <c r="BGN60" s="250"/>
      <c r="BGO60" s="250"/>
      <c r="BGP60" s="250"/>
      <c r="BGQ60" s="250"/>
      <c r="BGR60" s="250"/>
      <c r="BGS60" s="250"/>
      <c r="BGT60" s="250"/>
      <c r="BGU60" s="250"/>
      <c r="BGV60" s="250"/>
      <c r="BGW60" s="250"/>
      <c r="BGX60" s="250"/>
      <c r="BGY60" s="250"/>
      <c r="BGZ60" s="250"/>
      <c r="BHA60" s="250"/>
      <c r="BHB60" s="250"/>
      <c r="BHC60" s="250"/>
      <c r="BHD60" s="250"/>
      <c r="BHE60" s="250"/>
      <c r="BHF60" s="250"/>
      <c r="BHG60" s="250"/>
      <c r="BHH60" s="250"/>
      <c r="BHI60" s="250"/>
      <c r="BHJ60" s="250"/>
      <c r="BHK60" s="250"/>
      <c r="BHL60" s="250"/>
      <c r="BHM60" s="250"/>
      <c r="BHN60" s="250"/>
      <c r="BHO60" s="250"/>
      <c r="BHP60" s="250"/>
      <c r="BHQ60" s="250"/>
      <c r="BHR60" s="250"/>
      <c r="BHS60" s="250"/>
      <c r="BHT60" s="250"/>
      <c r="BHU60" s="250"/>
      <c r="BHV60" s="250"/>
      <c r="BHW60" s="250"/>
      <c r="BHX60" s="250"/>
      <c r="BHY60" s="250"/>
      <c r="BHZ60" s="250"/>
      <c r="BIA60" s="250"/>
      <c r="BIB60" s="250"/>
      <c r="BIC60" s="250"/>
      <c r="BID60" s="250"/>
      <c r="BIE60" s="250"/>
      <c r="BIF60" s="250"/>
      <c r="BIG60" s="250"/>
      <c r="BIH60" s="250"/>
      <c r="BII60" s="250"/>
      <c r="BIJ60" s="250"/>
      <c r="BIK60" s="250"/>
      <c r="BIL60" s="250"/>
      <c r="BIM60" s="250"/>
      <c r="BIN60" s="250"/>
      <c r="BIO60" s="250"/>
      <c r="BIP60" s="250"/>
      <c r="BIQ60" s="250"/>
      <c r="BIR60" s="250"/>
      <c r="BIS60" s="250"/>
      <c r="BIT60" s="250"/>
      <c r="BIU60" s="250"/>
      <c r="BIV60" s="250"/>
      <c r="BIW60" s="250"/>
      <c r="BIX60" s="250"/>
      <c r="BIY60" s="250"/>
      <c r="BIZ60" s="250"/>
      <c r="BJA60" s="250"/>
      <c r="BJB60" s="250"/>
      <c r="BJC60" s="250"/>
      <c r="BJD60" s="250"/>
      <c r="BJE60" s="250"/>
      <c r="BJF60" s="250"/>
      <c r="BJG60" s="250"/>
      <c r="BJH60" s="250"/>
      <c r="BJI60" s="250"/>
      <c r="BJJ60" s="250"/>
      <c r="BJK60" s="250"/>
      <c r="BJL60" s="250"/>
      <c r="BJM60" s="250"/>
      <c r="BJN60" s="250"/>
      <c r="BJO60" s="250"/>
      <c r="BJP60" s="250"/>
      <c r="BJQ60" s="250"/>
      <c r="BJR60" s="250"/>
      <c r="BJS60" s="250"/>
      <c r="BJT60" s="250"/>
      <c r="BJU60" s="250"/>
      <c r="BJV60" s="250"/>
      <c r="BJW60" s="250"/>
      <c r="BJX60" s="250"/>
      <c r="BJY60" s="250"/>
      <c r="BJZ60" s="250"/>
      <c r="BKA60" s="250"/>
      <c r="BKB60" s="250"/>
      <c r="BKC60" s="250"/>
      <c r="BKD60" s="250"/>
      <c r="BKE60" s="250"/>
      <c r="BKF60" s="250"/>
      <c r="BKG60" s="250"/>
      <c r="BKH60" s="250"/>
      <c r="BKI60" s="250"/>
      <c r="BKJ60" s="250"/>
      <c r="BKK60" s="250"/>
      <c r="BKL60" s="250"/>
      <c r="BKM60" s="250"/>
      <c r="BKN60" s="250"/>
      <c r="BKO60" s="250"/>
      <c r="BKP60" s="250"/>
      <c r="BKQ60" s="250"/>
      <c r="BKR60" s="250"/>
      <c r="BKS60" s="250"/>
      <c r="BKT60" s="250"/>
      <c r="BKU60" s="250"/>
      <c r="BKV60" s="250"/>
      <c r="BKW60" s="250"/>
      <c r="BKX60" s="250"/>
      <c r="BKY60" s="250"/>
      <c r="BKZ60" s="250"/>
      <c r="BLA60" s="250"/>
      <c r="BLB60" s="250"/>
      <c r="BLC60" s="250"/>
      <c r="BLD60" s="250"/>
      <c r="BLE60" s="250"/>
      <c r="BLF60" s="250"/>
      <c r="BLG60" s="250"/>
      <c r="BLH60" s="250"/>
      <c r="BLI60" s="250"/>
      <c r="BLJ60" s="250"/>
      <c r="BLK60" s="250"/>
      <c r="BLL60" s="250"/>
      <c r="BLM60" s="250"/>
      <c r="BLN60" s="250"/>
      <c r="BLO60" s="250"/>
      <c r="BLP60" s="250"/>
      <c r="BLQ60" s="250"/>
      <c r="BLR60" s="250"/>
      <c r="BLS60" s="250"/>
      <c r="BLT60" s="250"/>
      <c r="BLU60" s="250"/>
      <c r="BLV60" s="250"/>
      <c r="BLW60" s="250"/>
      <c r="BLX60" s="250"/>
      <c r="BLY60" s="250"/>
      <c r="BLZ60" s="250"/>
      <c r="BMA60" s="250"/>
      <c r="BMB60" s="250"/>
      <c r="BMC60" s="250"/>
      <c r="BMD60" s="250"/>
      <c r="BME60" s="250"/>
      <c r="BMF60" s="250"/>
      <c r="BMG60" s="250"/>
      <c r="BMH60" s="250"/>
      <c r="BMI60" s="250"/>
      <c r="BMJ60" s="250"/>
      <c r="BMK60" s="250"/>
      <c r="BML60" s="250"/>
      <c r="BMM60" s="250"/>
      <c r="BMN60" s="250"/>
      <c r="BMO60" s="250"/>
      <c r="BMP60" s="250"/>
      <c r="BMQ60" s="250"/>
      <c r="BMR60" s="250"/>
      <c r="BMS60" s="250"/>
      <c r="BMT60" s="250"/>
      <c r="BMU60" s="250"/>
      <c r="BMV60" s="250"/>
      <c r="BMW60" s="250"/>
      <c r="BMX60" s="250"/>
      <c r="BMY60" s="250"/>
      <c r="BMZ60" s="250"/>
      <c r="BNA60" s="250"/>
      <c r="BNB60" s="250"/>
      <c r="BNC60" s="250"/>
      <c r="BND60" s="250"/>
      <c r="BNE60" s="250"/>
      <c r="BNF60" s="250"/>
      <c r="BNG60" s="250"/>
      <c r="BNH60" s="250"/>
      <c r="BNI60" s="250"/>
      <c r="BNJ60" s="250"/>
      <c r="BNK60" s="250"/>
      <c r="BNL60" s="250"/>
      <c r="BNM60" s="250"/>
      <c r="BNN60" s="250"/>
      <c r="BNO60" s="250"/>
      <c r="BNP60" s="250"/>
      <c r="BNQ60" s="250"/>
      <c r="BNR60" s="250"/>
      <c r="BNS60" s="250"/>
      <c r="BNT60" s="250"/>
      <c r="BNU60" s="250"/>
      <c r="BNV60" s="250"/>
      <c r="BNW60" s="250"/>
      <c r="BNX60" s="250"/>
      <c r="BNY60" s="250"/>
      <c r="BNZ60" s="250"/>
      <c r="BOA60" s="250"/>
      <c r="BOB60" s="250"/>
      <c r="BOC60" s="250"/>
      <c r="BOD60" s="250"/>
      <c r="BOE60" s="250"/>
      <c r="BOF60" s="250"/>
      <c r="BOG60" s="250"/>
      <c r="BOH60" s="250"/>
      <c r="BOI60" s="250"/>
      <c r="BOJ60" s="250"/>
      <c r="BOK60" s="250"/>
      <c r="BOL60" s="250"/>
      <c r="BOM60" s="250"/>
      <c r="BON60" s="250"/>
      <c r="BOO60" s="250"/>
      <c r="BOP60" s="250"/>
      <c r="BOQ60" s="250"/>
      <c r="BOR60" s="250"/>
      <c r="BOS60" s="250"/>
      <c r="BOT60" s="250"/>
      <c r="BOU60" s="250"/>
      <c r="BOV60" s="250"/>
      <c r="BOW60" s="250"/>
      <c r="BOX60" s="250"/>
      <c r="BOY60" s="250"/>
      <c r="BOZ60" s="250"/>
      <c r="BPA60" s="250"/>
      <c r="BPB60" s="250"/>
      <c r="BPC60" s="250"/>
      <c r="BPD60" s="250"/>
      <c r="BPE60" s="250"/>
      <c r="BPF60" s="250"/>
      <c r="BPG60" s="250"/>
      <c r="BPH60" s="250"/>
      <c r="BPI60" s="250"/>
      <c r="BPJ60" s="250"/>
      <c r="BPK60" s="250"/>
      <c r="BPL60" s="250"/>
      <c r="BPM60" s="250"/>
      <c r="BPN60" s="250"/>
      <c r="BPO60" s="250"/>
      <c r="BPP60" s="250"/>
      <c r="BPQ60" s="250"/>
      <c r="BPR60" s="250"/>
      <c r="BPS60" s="250"/>
      <c r="BPT60" s="250"/>
      <c r="BPU60" s="250"/>
      <c r="BPV60" s="250"/>
      <c r="BPW60" s="250"/>
      <c r="BPX60" s="250"/>
      <c r="BPY60" s="250"/>
      <c r="BPZ60" s="250"/>
      <c r="BQA60" s="250"/>
      <c r="BQB60" s="250"/>
      <c r="BQC60" s="250"/>
      <c r="BQD60" s="250"/>
      <c r="BQE60" s="250"/>
      <c r="BQF60" s="250"/>
      <c r="BQG60" s="250"/>
      <c r="BQH60" s="250"/>
      <c r="BQI60" s="250"/>
      <c r="BQJ60" s="250"/>
      <c r="BQK60" s="250"/>
      <c r="BQL60" s="250"/>
      <c r="BQM60" s="250"/>
      <c r="BQN60" s="250"/>
      <c r="BQO60" s="250"/>
      <c r="BQP60" s="250"/>
      <c r="BQQ60" s="250"/>
      <c r="BQR60" s="250"/>
      <c r="BQS60" s="250"/>
      <c r="BQT60" s="250"/>
      <c r="BQU60" s="250"/>
      <c r="BQV60" s="250"/>
      <c r="BQW60" s="250"/>
      <c r="BQX60" s="250"/>
      <c r="BQY60" s="250"/>
      <c r="BQZ60" s="250"/>
      <c r="BRA60" s="250"/>
      <c r="BRB60" s="250"/>
      <c r="BRC60" s="250"/>
      <c r="BRD60" s="250"/>
      <c r="BRE60" s="250"/>
      <c r="BRF60" s="250"/>
      <c r="BRG60" s="250"/>
      <c r="BRH60" s="250"/>
      <c r="BRI60" s="250"/>
      <c r="BRJ60" s="250"/>
      <c r="BRK60" s="250"/>
      <c r="BRL60" s="250"/>
      <c r="BRM60" s="250"/>
      <c r="BRN60" s="250"/>
      <c r="BRO60" s="250"/>
      <c r="BRP60" s="250"/>
      <c r="BRQ60" s="250"/>
      <c r="BRR60" s="250"/>
      <c r="BRS60" s="250"/>
      <c r="BRT60" s="250"/>
      <c r="BRU60" s="250"/>
      <c r="BRV60" s="250"/>
      <c r="BRW60" s="250"/>
      <c r="BRX60" s="250"/>
      <c r="BRY60" s="250"/>
      <c r="BRZ60" s="250"/>
      <c r="BSA60" s="250"/>
      <c r="BSB60" s="250"/>
      <c r="BSC60" s="250"/>
      <c r="BSD60" s="250"/>
      <c r="BSE60" s="250"/>
      <c r="BSF60" s="250"/>
      <c r="BSG60" s="250"/>
      <c r="BSH60" s="250"/>
      <c r="BSI60" s="250"/>
      <c r="BSJ60" s="250"/>
      <c r="BSK60" s="250"/>
      <c r="BSL60" s="250"/>
      <c r="BSM60" s="250"/>
      <c r="BSN60" s="250"/>
      <c r="BSO60" s="250"/>
      <c r="BSP60" s="250"/>
      <c r="BSQ60" s="250"/>
      <c r="BSR60" s="250"/>
      <c r="BSS60" s="250"/>
      <c r="BST60" s="250"/>
      <c r="BSU60" s="250"/>
      <c r="BSV60" s="250"/>
      <c r="BSW60" s="250"/>
      <c r="BSX60" s="250"/>
      <c r="BSY60" s="250"/>
      <c r="BSZ60" s="250"/>
      <c r="BTA60" s="250"/>
      <c r="BTB60" s="250"/>
      <c r="BTC60" s="250"/>
      <c r="BTD60" s="250"/>
      <c r="BTE60" s="250"/>
      <c r="BTF60" s="250"/>
      <c r="BTG60" s="250"/>
      <c r="BTH60" s="250"/>
      <c r="BTI60" s="250"/>
      <c r="BTJ60" s="250"/>
      <c r="BTK60" s="250"/>
      <c r="BTL60" s="250"/>
      <c r="BTM60" s="250"/>
      <c r="BTN60" s="250"/>
      <c r="BTO60" s="250"/>
      <c r="BTP60" s="250"/>
      <c r="BTQ60" s="250"/>
      <c r="BTR60" s="250"/>
      <c r="BTS60" s="250"/>
      <c r="BTT60" s="250"/>
      <c r="BTU60" s="250"/>
      <c r="BTV60" s="250"/>
      <c r="BTW60" s="250"/>
      <c r="BTX60" s="250"/>
      <c r="BTY60" s="250"/>
      <c r="BTZ60" s="250"/>
      <c r="BUA60" s="250"/>
      <c r="BUB60" s="250"/>
      <c r="BUC60" s="250"/>
      <c r="BUD60" s="250"/>
      <c r="BUE60" s="250"/>
      <c r="BUF60" s="250"/>
      <c r="BUG60" s="250"/>
      <c r="BUH60" s="250"/>
      <c r="BUI60" s="250"/>
      <c r="BUJ60" s="250"/>
      <c r="BUK60" s="250"/>
      <c r="BUL60" s="250"/>
      <c r="BUM60" s="250"/>
      <c r="BUN60" s="250"/>
      <c r="BUO60" s="250"/>
      <c r="BUP60" s="250"/>
      <c r="BUQ60" s="250"/>
      <c r="BUR60" s="250"/>
      <c r="BUS60" s="250"/>
      <c r="BUT60" s="250"/>
      <c r="BUU60" s="250"/>
      <c r="BUV60" s="250"/>
      <c r="BUW60" s="250"/>
      <c r="BUX60" s="250"/>
      <c r="BUY60" s="250"/>
      <c r="BUZ60" s="250"/>
      <c r="BVA60" s="250"/>
      <c r="BVB60" s="250"/>
      <c r="BVC60" s="250"/>
      <c r="BVD60" s="250"/>
      <c r="BVE60" s="250"/>
      <c r="BVF60" s="250"/>
      <c r="BVG60" s="250"/>
      <c r="BVH60" s="250"/>
      <c r="BVI60" s="250"/>
      <c r="BVJ60" s="250"/>
      <c r="BVK60" s="250"/>
      <c r="BVL60" s="250"/>
      <c r="BVM60" s="250"/>
      <c r="BVN60" s="250"/>
      <c r="BVO60" s="250"/>
      <c r="BVP60" s="250"/>
      <c r="BVQ60" s="250"/>
      <c r="BVR60" s="250"/>
      <c r="BVS60" s="250"/>
      <c r="BVT60" s="250"/>
      <c r="BVU60" s="250"/>
      <c r="BVV60" s="250"/>
      <c r="BVW60" s="250"/>
      <c r="BVX60" s="250"/>
      <c r="BVY60" s="250"/>
      <c r="BVZ60" s="250"/>
      <c r="BWA60" s="250"/>
      <c r="BWB60" s="250"/>
      <c r="BWC60" s="250"/>
      <c r="BWD60" s="250"/>
      <c r="BWE60" s="250"/>
      <c r="BWF60" s="250"/>
      <c r="BWG60" s="250"/>
      <c r="BWH60" s="250"/>
      <c r="BWI60" s="250"/>
      <c r="BWJ60" s="250"/>
      <c r="BWK60" s="250"/>
      <c r="BWL60" s="250"/>
      <c r="BWM60" s="250"/>
      <c r="BWN60" s="250"/>
      <c r="BWO60" s="250"/>
      <c r="BWP60" s="250"/>
      <c r="BWQ60" s="250"/>
      <c r="BWR60" s="250"/>
      <c r="BWS60" s="250"/>
      <c r="BWT60" s="250"/>
      <c r="BWU60" s="250"/>
      <c r="BWV60" s="250"/>
      <c r="BWW60" s="250"/>
      <c r="BWX60" s="250"/>
      <c r="BWY60" s="250"/>
      <c r="BWZ60" s="250"/>
      <c r="BXA60" s="250"/>
      <c r="BXB60" s="250"/>
      <c r="BXC60" s="250"/>
      <c r="BXD60" s="250"/>
      <c r="BXE60" s="250"/>
      <c r="BXF60" s="250"/>
      <c r="BXG60" s="250"/>
      <c r="BXH60" s="250"/>
      <c r="BXI60" s="250"/>
      <c r="BXJ60" s="250"/>
      <c r="BXK60" s="250"/>
      <c r="BXL60" s="250"/>
      <c r="BXM60" s="250"/>
      <c r="BXN60" s="250"/>
      <c r="BXO60" s="250"/>
      <c r="BXP60" s="250"/>
      <c r="BXQ60" s="250"/>
      <c r="BXR60" s="250"/>
      <c r="BXS60" s="250"/>
      <c r="BXT60" s="250"/>
      <c r="BXU60" s="250"/>
      <c r="BXV60" s="250"/>
      <c r="BXW60" s="250"/>
      <c r="BXX60" s="250"/>
      <c r="BXY60" s="250"/>
      <c r="BXZ60" s="250"/>
      <c r="BYA60" s="250"/>
      <c r="BYB60" s="250"/>
      <c r="BYC60" s="250"/>
      <c r="BYD60" s="250"/>
      <c r="BYE60" s="250"/>
      <c r="BYF60" s="250"/>
      <c r="BYG60" s="250"/>
      <c r="BYH60" s="250"/>
      <c r="BYI60" s="250"/>
      <c r="BYJ60" s="250"/>
      <c r="BYK60" s="250"/>
      <c r="BYL60" s="250"/>
      <c r="BYM60" s="250"/>
      <c r="BYN60" s="250"/>
      <c r="BYO60" s="250"/>
      <c r="BYP60" s="250"/>
      <c r="BYQ60" s="250"/>
      <c r="BYR60" s="250"/>
      <c r="BYS60" s="250"/>
      <c r="BYT60" s="250"/>
      <c r="BYU60" s="250"/>
      <c r="BYV60" s="250"/>
      <c r="BYW60" s="250"/>
      <c r="BYX60" s="250"/>
      <c r="BYY60" s="250"/>
      <c r="BYZ60" s="250"/>
      <c r="BZA60" s="250"/>
      <c r="BZB60" s="250"/>
      <c r="BZC60" s="250"/>
      <c r="BZD60" s="250"/>
      <c r="BZE60" s="250"/>
      <c r="BZF60" s="250"/>
      <c r="BZG60" s="250"/>
      <c r="BZH60" s="250"/>
      <c r="BZI60" s="250"/>
      <c r="BZJ60" s="250"/>
      <c r="BZK60" s="250"/>
      <c r="BZL60" s="250"/>
      <c r="BZM60" s="250"/>
      <c r="BZN60" s="250"/>
      <c r="BZO60" s="250"/>
      <c r="BZP60" s="250"/>
      <c r="BZQ60" s="250"/>
      <c r="BZR60" s="250"/>
      <c r="BZS60" s="250"/>
      <c r="BZT60" s="250"/>
      <c r="BZU60" s="250"/>
      <c r="BZV60" s="250"/>
      <c r="BZW60" s="250"/>
      <c r="BZX60" s="250"/>
      <c r="BZY60" s="250"/>
      <c r="BZZ60" s="250"/>
      <c r="CAA60" s="250"/>
      <c r="CAB60" s="250"/>
      <c r="CAC60" s="250"/>
      <c r="CAD60" s="250"/>
      <c r="CAE60" s="250"/>
      <c r="CAF60" s="250"/>
      <c r="CAG60" s="250"/>
      <c r="CAH60" s="250"/>
      <c r="CAI60" s="250"/>
      <c r="CAJ60" s="250"/>
      <c r="CAK60" s="250"/>
      <c r="CAL60" s="250"/>
      <c r="CAM60" s="250"/>
      <c r="CAN60" s="250"/>
      <c r="CAO60" s="250"/>
      <c r="CAP60" s="250"/>
      <c r="CAQ60" s="250"/>
      <c r="CAR60" s="250"/>
      <c r="CAS60" s="250"/>
      <c r="CAT60" s="250"/>
      <c r="CAU60" s="250"/>
      <c r="CAV60" s="250"/>
      <c r="CAW60" s="250"/>
      <c r="CAX60" s="250"/>
      <c r="CAY60" s="250"/>
      <c r="CAZ60" s="250"/>
      <c r="CBA60" s="250"/>
      <c r="CBB60" s="250"/>
      <c r="CBC60" s="250"/>
      <c r="CBD60" s="250"/>
      <c r="CBE60" s="250"/>
      <c r="CBF60" s="250"/>
      <c r="CBG60" s="250"/>
      <c r="CBH60" s="250"/>
      <c r="CBI60" s="250"/>
      <c r="CBJ60" s="250"/>
      <c r="CBK60" s="250"/>
      <c r="CBL60" s="250"/>
      <c r="CBM60" s="250"/>
      <c r="CBN60" s="250"/>
      <c r="CBO60" s="250"/>
      <c r="CBP60" s="250"/>
      <c r="CBQ60" s="250"/>
      <c r="CBR60" s="250"/>
      <c r="CBS60" s="250"/>
      <c r="CBT60" s="250"/>
      <c r="CBU60" s="250"/>
      <c r="CBV60" s="250"/>
      <c r="CBW60" s="250"/>
      <c r="CBX60" s="250"/>
      <c r="CBY60" s="250"/>
      <c r="CBZ60" s="250"/>
      <c r="CCA60" s="250"/>
      <c r="CCB60" s="250"/>
      <c r="CCC60" s="250"/>
      <c r="CCD60" s="250"/>
      <c r="CCE60" s="250"/>
      <c r="CCF60" s="250"/>
      <c r="CCG60" s="250"/>
      <c r="CCH60" s="250"/>
      <c r="CCI60" s="250"/>
      <c r="CCJ60" s="250"/>
      <c r="CCK60" s="250"/>
      <c r="CCL60" s="250"/>
      <c r="CCM60" s="250"/>
      <c r="CCN60" s="250"/>
      <c r="CCO60" s="250"/>
      <c r="CCP60" s="250"/>
      <c r="CCQ60" s="250"/>
      <c r="CCR60" s="250"/>
      <c r="CCS60" s="250"/>
      <c r="CCT60" s="250"/>
      <c r="CCU60" s="250"/>
      <c r="CCV60" s="250"/>
      <c r="CCW60" s="250"/>
      <c r="CCX60" s="250"/>
      <c r="CCY60" s="250"/>
      <c r="CCZ60" s="250"/>
      <c r="CDA60" s="250"/>
      <c r="CDB60" s="250"/>
      <c r="CDC60" s="250"/>
      <c r="CDD60" s="250"/>
      <c r="CDE60" s="250"/>
      <c r="CDF60" s="250"/>
      <c r="CDG60" s="250"/>
      <c r="CDH60" s="250"/>
      <c r="CDI60" s="250"/>
      <c r="CDJ60" s="250"/>
      <c r="CDK60" s="250"/>
      <c r="CDL60" s="250"/>
      <c r="CDM60" s="250"/>
      <c r="CDN60" s="250"/>
      <c r="CDO60" s="250"/>
      <c r="CDP60" s="250"/>
      <c r="CDQ60" s="250"/>
      <c r="CDR60" s="250"/>
      <c r="CDS60" s="250"/>
      <c r="CDT60" s="250"/>
      <c r="CDU60" s="250"/>
      <c r="CDV60" s="250"/>
      <c r="CDW60" s="250"/>
      <c r="CDX60" s="250"/>
      <c r="CDY60" s="250"/>
      <c r="CDZ60" s="250"/>
      <c r="CEA60" s="250"/>
      <c r="CEB60" s="250"/>
      <c r="CEC60" s="250"/>
      <c r="CED60" s="250"/>
      <c r="CEE60" s="250"/>
      <c r="CEF60" s="250"/>
      <c r="CEG60" s="250"/>
      <c r="CEH60" s="250"/>
      <c r="CEI60" s="250"/>
      <c r="CEJ60" s="250"/>
      <c r="CEK60" s="250"/>
      <c r="CEL60" s="250"/>
      <c r="CEM60" s="250"/>
      <c r="CEN60" s="250"/>
      <c r="CEO60" s="250"/>
      <c r="CEP60" s="250"/>
      <c r="CEQ60" s="250"/>
      <c r="CER60" s="250"/>
      <c r="CES60" s="250"/>
      <c r="CET60" s="250"/>
      <c r="CEU60" s="250"/>
      <c r="CEV60" s="250"/>
      <c r="CEW60" s="250"/>
      <c r="CEX60" s="250"/>
      <c r="CEY60" s="250"/>
      <c r="CEZ60" s="250"/>
      <c r="CFA60" s="250"/>
      <c r="CFB60" s="250"/>
      <c r="CFC60" s="250"/>
      <c r="CFD60" s="250"/>
      <c r="CFE60" s="250"/>
      <c r="CFF60" s="250"/>
      <c r="CFG60" s="250"/>
      <c r="CFH60" s="250"/>
      <c r="CFI60" s="250"/>
      <c r="CFJ60" s="250"/>
      <c r="CFK60" s="250"/>
      <c r="CFL60" s="250"/>
      <c r="CFM60" s="250"/>
      <c r="CFN60" s="250"/>
      <c r="CFO60" s="250"/>
      <c r="CFP60" s="250"/>
      <c r="CFQ60" s="250"/>
      <c r="CFR60" s="250"/>
      <c r="CFS60" s="250"/>
      <c r="CFT60" s="250"/>
      <c r="CFU60" s="250"/>
      <c r="CFV60" s="250"/>
      <c r="CFW60" s="250"/>
      <c r="CFX60" s="250"/>
      <c r="CFY60" s="250"/>
      <c r="CFZ60" s="250"/>
      <c r="CGA60" s="250"/>
      <c r="CGB60" s="250"/>
      <c r="CGC60" s="250"/>
      <c r="CGD60" s="250"/>
      <c r="CGE60" s="250"/>
      <c r="CGF60" s="250"/>
      <c r="CGG60" s="250"/>
      <c r="CGH60" s="250"/>
      <c r="CGI60" s="250"/>
      <c r="CGJ60" s="250"/>
      <c r="CGK60" s="250"/>
      <c r="CGL60" s="250"/>
      <c r="CGM60" s="250"/>
      <c r="CGN60" s="250"/>
      <c r="CGO60" s="250"/>
      <c r="CGP60" s="250"/>
      <c r="CGQ60" s="250"/>
      <c r="CGR60" s="250"/>
      <c r="CGS60" s="250"/>
      <c r="CGT60" s="250"/>
      <c r="CGU60" s="250"/>
      <c r="CGV60" s="250"/>
      <c r="CGW60" s="250"/>
      <c r="CGX60" s="250"/>
      <c r="CGY60" s="250"/>
      <c r="CGZ60" s="250"/>
      <c r="CHA60" s="250"/>
      <c r="CHB60" s="250"/>
      <c r="CHC60" s="250"/>
      <c r="CHD60" s="250"/>
      <c r="CHE60" s="250"/>
      <c r="CHF60" s="250"/>
      <c r="CHG60" s="250"/>
      <c r="CHH60" s="250"/>
      <c r="CHI60" s="250"/>
      <c r="CHJ60" s="250"/>
      <c r="CHK60" s="250"/>
      <c r="CHL60" s="250"/>
      <c r="CHM60" s="250"/>
      <c r="CHN60" s="250"/>
      <c r="CHO60" s="250"/>
      <c r="CHP60" s="250"/>
      <c r="CHQ60" s="250"/>
      <c r="CHR60" s="250"/>
      <c r="CHS60" s="250"/>
      <c r="CHT60" s="250"/>
      <c r="CHU60" s="250"/>
      <c r="CHV60" s="250"/>
      <c r="CHW60" s="250"/>
      <c r="CHX60" s="250"/>
      <c r="CHY60" s="250"/>
      <c r="CHZ60" s="250"/>
      <c r="CIA60" s="250"/>
      <c r="CIB60" s="250"/>
      <c r="CIC60" s="250"/>
      <c r="CID60" s="250"/>
      <c r="CIE60" s="250"/>
      <c r="CIF60" s="250"/>
      <c r="CIG60" s="250"/>
      <c r="CIH60" s="250"/>
      <c r="CII60" s="250"/>
      <c r="CIJ60" s="250"/>
      <c r="CIK60" s="250"/>
      <c r="CIL60" s="250"/>
      <c r="CIM60" s="250"/>
      <c r="CIN60" s="250"/>
      <c r="CIO60" s="250"/>
      <c r="CIP60" s="250"/>
      <c r="CIQ60" s="250"/>
      <c r="CIR60" s="250"/>
      <c r="CIS60" s="250"/>
      <c r="CIT60" s="250"/>
      <c r="CIU60" s="250"/>
      <c r="CIV60" s="250"/>
      <c r="CIW60" s="250"/>
      <c r="CIX60" s="250"/>
      <c r="CIY60" s="250"/>
      <c r="CIZ60" s="250"/>
      <c r="CJA60" s="250"/>
      <c r="CJB60" s="250"/>
      <c r="CJC60" s="250"/>
      <c r="CJD60" s="250"/>
      <c r="CJE60" s="250"/>
      <c r="CJF60" s="250"/>
      <c r="CJG60" s="250"/>
      <c r="CJH60" s="250"/>
      <c r="CJI60" s="250"/>
      <c r="CJJ60" s="250"/>
      <c r="CJK60" s="250"/>
      <c r="CJL60" s="250"/>
      <c r="CJM60" s="250"/>
      <c r="CJN60" s="250"/>
      <c r="CJO60" s="250"/>
      <c r="CJP60" s="250"/>
      <c r="CJQ60" s="250"/>
      <c r="CJR60" s="250"/>
      <c r="CJS60" s="250"/>
      <c r="CJT60" s="250"/>
      <c r="CJU60" s="250"/>
      <c r="CJV60" s="250"/>
      <c r="CJW60" s="250"/>
      <c r="CJX60" s="250"/>
      <c r="CJY60" s="250"/>
      <c r="CJZ60" s="250"/>
      <c r="CKA60" s="250"/>
      <c r="CKB60" s="250"/>
      <c r="CKC60" s="250"/>
      <c r="CKD60" s="250"/>
      <c r="CKE60" s="250"/>
      <c r="CKF60" s="250"/>
      <c r="CKG60" s="250"/>
      <c r="CKH60" s="250"/>
      <c r="CKI60" s="250"/>
      <c r="CKJ60" s="250"/>
      <c r="CKK60" s="250"/>
      <c r="CKL60" s="250"/>
      <c r="CKM60" s="250"/>
      <c r="CKN60" s="250"/>
      <c r="CKO60" s="250"/>
      <c r="CKP60" s="250"/>
      <c r="CKQ60" s="250"/>
      <c r="CKR60" s="250"/>
      <c r="CKS60" s="250"/>
      <c r="CKT60" s="250"/>
      <c r="CKU60" s="250"/>
      <c r="CKV60" s="250"/>
      <c r="CKW60" s="250"/>
      <c r="CKX60" s="250"/>
      <c r="CKY60" s="250"/>
      <c r="CKZ60" s="250"/>
      <c r="CLA60" s="250"/>
      <c r="CLB60" s="250"/>
      <c r="CLC60" s="250"/>
      <c r="CLD60" s="250"/>
      <c r="CLE60" s="250"/>
      <c r="CLF60" s="250"/>
      <c r="CLG60" s="250"/>
      <c r="CLH60" s="250"/>
      <c r="CLI60" s="250"/>
      <c r="CLJ60" s="250"/>
      <c r="CLK60" s="250"/>
      <c r="CLL60" s="250"/>
      <c r="CLM60" s="250"/>
      <c r="CLN60" s="250"/>
      <c r="CLO60" s="250"/>
      <c r="CLP60" s="250"/>
      <c r="CLQ60" s="250"/>
      <c r="CLR60" s="250"/>
      <c r="CLS60" s="250"/>
      <c r="CLT60" s="250"/>
      <c r="CLU60" s="250"/>
      <c r="CLV60" s="250"/>
      <c r="CLW60" s="250"/>
      <c r="CLX60" s="250"/>
      <c r="CLY60" s="250"/>
      <c r="CLZ60" s="250"/>
      <c r="CMA60" s="250"/>
      <c r="CMB60" s="250"/>
      <c r="CMC60" s="250"/>
      <c r="CMD60" s="250"/>
      <c r="CME60" s="250"/>
      <c r="CMF60" s="250"/>
      <c r="CMG60" s="250"/>
      <c r="CMH60" s="250"/>
      <c r="CMI60" s="250"/>
      <c r="CMJ60" s="250"/>
      <c r="CMK60" s="250"/>
      <c r="CML60" s="250"/>
      <c r="CMM60" s="250"/>
      <c r="CMN60" s="250"/>
      <c r="CMO60" s="250"/>
      <c r="CMP60" s="250"/>
      <c r="CMQ60" s="250"/>
      <c r="CMR60" s="250"/>
      <c r="CMS60" s="250"/>
      <c r="CMT60" s="250"/>
      <c r="CMU60" s="250"/>
      <c r="CMV60" s="250"/>
      <c r="CMW60" s="250"/>
      <c r="CMX60" s="250"/>
      <c r="CMY60" s="250"/>
      <c r="CMZ60" s="250"/>
      <c r="CNA60" s="250"/>
      <c r="CNB60" s="250"/>
      <c r="CNC60" s="250"/>
      <c r="CND60" s="250"/>
      <c r="CNE60" s="250"/>
      <c r="CNF60" s="250"/>
      <c r="CNG60" s="250"/>
      <c r="CNH60" s="250"/>
      <c r="CNI60" s="250"/>
      <c r="CNJ60" s="250"/>
      <c r="CNK60" s="250"/>
      <c r="CNL60" s="250"/>
      <c r="CNM60" s="250"/>
      <c r="CNN60" s="250"/>
      <c r="CNO60" s="250"/>
      <c r="CNP60" s="250"/>
      <c r="CNQ60" s="250"/>
      <c r="CNR60" s="250"/>
      <c r="CNS60" s="250"/>
      <c r="CNT60" s="250"/>
      <c r="CNU60" s="250"/>
      <c r="CNV60" s="250"/>
      <c r="CNW60" s="250"/>
      <c r="CNX60" s="250"/>
      <c r="CNY60" s="250"/>
      <c r="CNZ60" s="250"/>
      <c r="COA60" s="250"/>
      <c r="COB60" s="250"/>
      <c r="COC60" s="250"/>
      <c r="COD60" s="250"/>
      <c r="COE60" s="250"/>
      <c r="COF60" s="250"/>
      <c r="COG60" s="250"/>
      <c r="COH60" s="250"/>
      <c r="COI60" s="250"/>
      <c r="COJ60" s="250"/>
      <c r="COK60" s="250"/>
      <c r="COL60" s="250"/>
      <c r="COM60" s="250"/>
      <c r="CON60" s="250"/>
      <c r="COO60" s="250"/>
      <c r="COP60" s="250"/>
      <c r="COQ60" s="250"/>
      <c r="COR60" s="250"/>
      <c r="COS60" s="250"/>
      <c r="COT60" s="250"/>
      <c r="COU60" s="250"/>
      <c r="COV60" s="250"/>
      <c r="COW60" s="250"/>
      <c r="COX60" s="250"/>
      <c r="COY60" s="250"/>
      <c r="COZ60" s="250"/>
      <c r="CPA60" s="250"/>
      <c r="CPB60" s="250"/>
      <c r="CPC60" s="250"/>
      <c r="CPD60" s="250"/>
      <c r="CPE60" s="250"/>
      <c r="CPF60" s="250"/>
      <c r="CPG60" s="250"/>
      <c r="CPH60" s="250"/>
      <c r="CPI60" s="250"/>
      <c r="CPJ60" s="250"/>
      <c r="CPK60" s="250"/>
      <c r="CPL60" s="250"/>
      <c r="CPM60" s="250"/>
      <c r="CPN60" s="250"/>
      <c r="CPO60" s="250"/>
      <c r="CPP60" s="250"/>
      <c r="CPQ60" s="250"/>
      <c r="CPR60" s="250"/>
      <c r="CPS60" s="250"/>
      <c r="CPT60" s="250"/>
      <c r="CPU60" s="250"/>
      <c r="CPV60" s="250"/>
      <c r="CPW60" s="250"/>
      <c r="CPX60" s="250"/>
      <c r="CPY60" s="250"/>
      <c r="CPZ60" s="250"/>
      <c r="CQA60" s="250"/>
      <c r="CQB60" s="250"/>
      <c r="CQC60" s="250"/>
      <c r="CQD60" s="250"/>
      <c r="CQE60" s="250"/>
      <c r="CQF60" s="250"/>
      <c r="CQG60" s="250"/>
      <c r="CQH60" s="250"/>
      <c r="CQI60" s="250"/>
      <c r="CQJ60" s="250"/>
      <c r="CQK60" s="250"/>
      <c r="CQL60" s="250"/>
      <c r="CQM60" s="250"/>
      <c r="CQN60" s="250"/>
      <c r="CQO60" s="250"/>
      <c r="CQP60" s="250"/>
      <c r="CQQ60" s="250"/>
      <c r="CQR60" s="250"/>
      <c r="CQS60" s="250"/>
      <c r="CQT60" s="250"/>
      <c r="CQU60" s="250"/>
      <c r="CQV60" s="250"/>
      <c r="CQW60" s="250"/>
      <c r="CQX60" s="250"/>
      <c r="CQY60" s="250"/>
      <c r="CQZ60" s="250"/>
      <c r="CRA60" s="250"/>
      <c r="CRB60" s="250"/>
      <c r="CRC60" s="250"/>
      <c r="CRD60" s="250"/>
      <c r="CRE60" s="250"/>
      <c r="CRF60" s="250"/>
      <c r="CRG60" s="250"/>
      <c r="CRH60" s="250"/>
      <c r="CRI60" s="250"/>
      <c r="CRJ60" s="250"/>
      <c r="CRK60" s="250"/>
      <c r="CRL60" s="250"/>
      <c r="CRM60" s="250"/>
      <c r="CRN60" s="250"/>
      <c r="CRO60" s="250"/>
      <c r="CRP60" s="250"/>
      <c r="CRQ60" s="250"/>
      <c r="CRR60" s="250"/>
      <c r="CRS60" s="250"/>
      <c r="CRT60" s="250"/>
      <c r="CRU60" s="250"/>
      <c r="CRV60" s="250"/>
      <c r="CRW60" s="250"/>
      <c r="CRX60" s="250"/>
      <c r="CRY60" s="250"/>
      <c r="CRZ60" s="250"/>
      <c r="CSA60" s="250"/>
      <c r="CSB60" s="250"/>
      <c r="CSC60" s="250"/>
      <c r="CSD60" s="250"/>
      <c r="CSE60" s="250"/>
      <c r="CSF60" s="250"/>
      <c r="CSG60" s="250"/>
      <c r="CSH60" s="250"/>
      <c r="CSI60" s="250"/>
      <c r="CSJ60" s="250"/>
      <c r="CSK60" s="250"/>
      <c r="CSL60" s="250"/>
      <c r="CSM60" s="250"/>
      <c r="CSN60" s="250"/>
      <c r="CSO60" s="250"/>
      <c r="CSP60" s="250"/>
      <c r="CSQ60" s="250"/>
      <c r="CSR60" s="250"/>
      <c r="CSS60" s="250"/>
      <c r="CST60" s="250"/>
      <c r="CSU60" s="250"/>
      <c r="CSV60" s="250"/>
      <c r="CSW60" s="250"/>
      <c r="CSX60" s="250"/>
      <c r="CSY60" s="250"/>
      <c r="CSZ60" s="250"/>
      <c r="CTA60" s="250"/>
      <c r="CTB60" s="250"/>
      <c r="CTC60" s="250"/>
      <c r="CTD60" s="250"/>
      <c r="CTE60" s="250"/>
      <c r="CTF60" s="250"/>
      <c r="CTG60" s="250"/>
      <c r="CTH60" s="250"/>
      <c r="CTI60" s="250"/>
      <c r="CTJ60" s="250"/>
      <c r="CTK60" s="250"/>
      <c r="CTL60" s="250"/>
      <c r="CTM60" s="250"/>
      <c r="CTN60" s="250"/>
      <c r="CTO60" s="250"/>
      <c r="CTP60" s="250"/>
      <c r="CTQ60" s="250"/>
      <c r="CTR60" s="250"/>
      <c r="CTS60" s="250"/>
      <c r="CTT60" s="250"/>
      <c r="CTU60" s="250"/>
      <c r="CTV60" s="250"/>
      <c r="CTW60" s="250"/>
      <c r="CTX60" s="250"/>
      <c r="CTY60" s="250"/>
      <c r="CTZ60" s="250"/>
      <c r="CUA60" s="250"/>
      <c r="CUB60" s="250"/>
      <c r="CUC60" s="250"/>
      <c r="CUD60" s="250"/>
      <c r="CUE60" s="250"/>
      <c r="CUF60" s="250"/>
      <c r="CUG60" s="250"/>
      <c r="CUH60" s="250"/>
      <c r="CUI60" s="250"/>
      <c r="CUJ60" s="250"/>
      <c r="CUK60" s="250"/>
      <c r="CUL60" s="250"/>
      <c r="CUM60" s="250"/>
      <c r="CUN60" s="250"/>
      <c r="CUO60" s="250"/>
      <c r="CUP60" s="250"/>
      <c r="CUQ60" s="250"/>
      <c r="CUR60" s="250"/>
      <c r="CUS60" s="250"/>
      <c r="CUT60" s="250"/>
      <c r="CUU60" s="250"/>
      <c r="CUV60" s="250"/>
      <c r="CUW60" s="250"/>
      <c r="CUX60" s="250"/>
      <c r="CUY60" s="250"/>
      <c r="CUZ60" s="250"/>
      <c r="CVA60" s="250"/>
      <c r="CVB60" s="250"/>
      <c r="CVC60" s="250"/>
      <c r="CVD60" s="250"/>
      <c r="CVE60" s="250"/>
      <c r="CVF60" s="250"/>
      <c r="CVG60" s="250"/>
      <c r="CVH60" s="250"/>
      <c r="CVI60" s="250"/>
      <c r="CVJ60" s="250"/>
      <c r="CVK60" s="250"/>
      <c r="CVL60" s="250"/>
      <c r="CVM60" s="250"/>
      <c r="CVN60" s="250"/>
      <c r="CVO60" s="250"/>
      <c r="CVP60" s="250"/>
      <c r="CVQ60" s="250"/>
      <c r="CVR60" s="250"/>
      <c r="CVS60" s="250"/>
      <c r="CVT60" s="250"/>
      <c r="CVU60" s="250"/>
      <c r="CVV60" s="250"/>
      <c r="CVW60" s="250"/>
      <c r="CVX60" s="250"/>
      <c r="CVY60" s="250"/>
      <c r="CVZ60" s="250"/>
      <c r="CWA60" s="250"/>
      <c r="CWB60" s="250"/>
      <c r="CWC60" s="250"/>
      <c r="CWD60" s="250"/>
      <c r="CWE60" s="250"/>
      <c r="CWF60" s="250"/>
      <c r="CWG60" s="250"/>
      <c r="CWH60" s="250"/>
      <c r="CWI60" s="250"/>
      <c r="CWJ60" s="250"/>
      <c r="CWK60" s="250"/>
      <c r="CWL60" s="250"/>
      <c r="CWM60" s="250"/>
      <c r="CWN60" s="250"/>
      <c r="CWO60" s="250"/>
      <c r="CWP60" s="250"/>
      <c r="CWQ60" s="250"/>
      <c r="CWR60" s="250"/>
      <c r="CWS60" s="250"/>
      <c r="CWT60" s="250"/>
      <c r="CWU60" s="250"/>
      <c r="CWV60" s="250"/>
      <c r="CWW60" s="250"/>
      <c r="CWX60" s="250"/>
      <c r="CWY60" s="250"/>
      <c r="CWZ60" s="250"/>
      <c r="CXA60" s="250"/>
      <c r="CXB60" s="250"/>
      <c r="CXC60" s="250"/>
      <c r="CXD60" s="250"/>
      <c r="CXE60" s="250"/>
      <c r="CXF60" s="250"/>
      <c r="CXG60" s="250"/>
      <c r="CXH60" s="250"/>
      <c r="CXI60" s="250"/>
      <c r="CXJ60" s="250"/>
      <c r="CXK60" s="250"/>
      <c r="CXL60" s="250"/>
      <c r="CXM60" s="250"/>
      <c r="CXN60" s="250"/>
      <c r="CXO60" s="250"/>
      <c r="CXP60" s="250"/>
      <c r="CXQ60" s="250"/>
      <c r="CXR60" s="250"/>
      <c r="CXS60" s="250"/>
      <c r="CXT60" s="250"/>
      <c r="CXU60" s="250"/>
      <c r="CXV60" s="250"/>
      <c r="CXW60" s="250"/>
      <c r="CXX60" s="250"/>
      <c r="CXY60" s="250"/>
      <c r="CXZ60" s="250"/>
      <c r="CYA60" s="250"/>
      <c r="CYB60" s="250"/>
      <c r="CYC60" s="250"/>
      <c r="CYD60" s="250"/>
      <c r="CYE60" s="250"/>
      <c r="CYF60" s="250"/>
      <c r="CYG60" s="250"/>
      <c r="CYH60" s="250"/>
      <c r="CYI60" s="250"/>
      <c r="CYJ60" s="250"/>
      <c r="CYK60" s="250"/>
      <c r="CYL60" s="250"/>
      <c r="CYM60" s="250"/>
      <c r="CYN60" s="250"/>
      <c r="CYO60" s="250"/>
      <c r="CYP60" s="250"/>
      <c r="CYQ60" s="250"/>
      <c r="CYR60" s="250"/>
      <c r="CYS60" s="250"/>
      <c r="CYT60" s="250"/>
      <c r="CYU60" s="250"/>
      <c r="CYV60" s="250"/>
      <c r="CYW60" s="250"/>
      <c r="CYX60" s="250"/>
      <c r="CYY60" s="250"/>
      <c r="CYZ60" s="250"/>
      <c r="CZA60" s="250"/>
      <c r="CZB60" s="250"/>
      <c r="CZC60" s="250"/>
      <c r="CZD60" s="250"/>
      <c r="CZE60" s="250"/>
      <c r="CZF60" s="250"/>
      <c r="CZG60" s="250"/>
      <c r="CZH60" s="250"/>
      <c r="CZI60" s="250"/>
      <c r="CZJ60" s="250"/>
      <c r="CZK60" s="250"/>
      <c r="CZL60" s="250"/>
      <c r="CZM60" s="250"/>
      <c r="CZN60" s="250"/>
      <c r="CZO60" s="250"/>
      <c r="CZP60" s="250"/>
      <c r="CZQ60" s="250"/>
      <c r="CZR60" s="250"/>
      <c r="CZS60" s="250"/>
      <c r="CZT60" s="250"/>
      <c r="CZU60" s="250"/>
      <c r="CZV60" s="250"/>
      <c r="CZW60" s="250"/>
      <c r="CZX60" s="250"/>
      <c r="CZY60" s="250"/>
      <c r="CZZ60" s="250"/>
      <c r="DAA60" s="250"/>
      <c r="DAB60" s="250"/>
      <c r="DAC60" s="250"/>
      <c r="DAD60" s="250"/>
      <c r="DAE60" s="250"/>
      <c r="DAF60" s="250"/>
      <c r="DAG60" s="250"/>
      <c r="DAH60" s="250"/>
      <c r="DAI60" s="250"/>
      <c r="DAJ60" s="250"/>
      <c r="DAK60" s="250"/>
      <c r="DAL60" s="250"/>
      <c r="DAM60" s="250"/>
      <c r="DAN60" s="250"/>
      <c r="DAO60" s="250"/>
      <c r="DAP60" s="250"/>
      <c r="DAQ60" s="250"/>
      <c r="DAR60" s="250"/>
      <c r="DAS60" s="250"/>
      <c r="DAT60" s="250"/>
      <c r="DAU60" s="250"/>
      <c r="DAV60" s="250"/>
      <c r="DAW60" s="250"/>
      <c r="DAX60" s="250"/>
      <c r="DAY60" s="250"/>
      <c r="DAZ60" s="250"/>
      <c r="DBA60" s="250"/>
      <c r="DBB60" s="250"/>
      <c r="DBC60" s="250"/>
      <c r="DBD60" s="250"/>
      <c r="DBE60" s="250"/>
      <c r="DBF60" s="250"/>
      <c r="DBG60" s="250"/>
      <c r="DBH60" s="250"/>
      <c r="DBI60" s="250"/>
      <c r="DBJ60" s="250"/>
      <c r="DBK60" s="250"/>
      <c r="DBL60" s="250"/>
      <c r="DBM60" s="250"/>
      <c r="DBN60" s="250"/>
      <c r="DBO60" s="250"/>
      <c r="DBP60" s="250"/>
      <c r="DBQ60" s="250"/>
      <c r="DBR60" s="250"/>
      <c r="DBS60" s="250"/>
      <c r="DBT60" s="250"/>
      <c r="DBU60" s="250"/>
      <c r="DBV60" s="250"/>
      <c r="DBW60" s="250"/>
      <c r="DBX60" s="250"/>
      <c r="DBY60" s="250"/>
      <c r="DBZ60" s="250"/>
      <c r="DCA60" s="250"/>
      <c r="DCB60" s="250"/>
      <c r="DCC60" s="250"/>
      <c r="DCD60" s="250"/>
      <c r="DCE60" s="250"/>
      <c r="DCF60" s="250"/>
      <c r="DCG60" s="250"/>
      <c r="DCH60" s="250"/>
      <c r="DCI60" s="250"/>
      <c r="DCJ60" s="250"/>
      <c r="DCK60" s="250"/>
      <c r="DCL60" s="250"/>
      <c r="DCM60" s="250"/>
      <c r="DCN60" s="250"/>
      <c r="DCO60" s="250"/>
      <c r="DCP60" s="250"/>
      <c r="DCQ60" s="250"/>
      <c r="DCR60" s="250"/>
      <c r="DCS60" s="250"/>
      <c r="DCT60" s="250"/>
      <c r="DCU60" s="250"/>
      <c r="DCV60" s="250"/>
      <c r="DCW60" s="250"/>
      <c r="DCX60" s="250"/>
      <c r="DCY60" s="250"/>
      <c r="DCZ60" s="250"/>
      <c r="DDA60" s="250"/>
      <c r="DDB60" s="250"/>
      <c r="DDC60" s="250"/>
      <c r="DDD60" s="250"/>
      <c r="DDE60" s="250"/>
      <c r="DDF60" s="250"/>
      <c r="DDG60" s="250"/>
      <c r="DDH60" s="250"/>
      <c r="DDI60" s="250"/>
      <c r="DDJ60" s="250"/>
      <c r="DDK60" s="250"/>
      <c r="DDL60" s="250"/>
      <c r="DDM60" s="250"/>
      <c r="DDN60" s="250"/>
      <c r="DDO60" s="250"/>
      <c r="DDP60" s="250"/>
      <c r="DDQ60" s="250"/>
      <c r="DDR60" s="250"/>
      <c r="DDS60" s="250"/>
      <c r="DDT60" s="250"/>
      <c r="DDU60" s="250"/>
      <c r="DDV60" s="250"/>
      <c r="DDW60" s="250"/>
      <c r="DDX60" s="250"/>
      <c r="DDY60" s="250"/>
      <c r="DDZ60" s="250"/>
      <c r="DEA60" s="250"/>
      <c r="DEB60" s="250"/>
      <c r="DEC60" s="250"/>
      <c r="DED60" s="250"/>
      <c r="DEE60" s="250"/>
      <c r="DEF60" s="250"/>
      <c r="DEG60" s="250"/>
      <c r="DEH60" s="250"/>
      <c r="DEI60" s="250"/>
      <c r="DEJ60" s="250"/>
      <c r="DEK60" s="250"/>
      <c r="DEL60" s="250"/>
      <c r="DEM60" s="250"/>
      <c r="DEN60" s="250"/>
      <c r="DEO60" s="250"/>
      <c r="DEP60" s="250"/>
      <c r="DEQ60" s="250"/>
      <c r="DER60" s="250"/>
      <c r="DES60" s="250"/>
      <c r="DET60" s="250"/>
      <c r="DEU60" s="250"/>
      <c r="DEV60" s="250"/>
      <c r="DEW60" s="250"/>
      <c r="DEX60" s="250"/>
      <c r="DEY60" s="250"/>
      <c r="DEZ60" s="250"/>
      <c r="DFA60" s="250"/>
      <c r="DFB60" s="250"/>
      <c r="DFC60" s="250"/>
      <c r="DFD60" s="250"/>
      <c r="DFE60" s="250"/>
      <c r="DFF60" s="250"/>
      <c r="DFG60" s="250"/>
      <c r="DFH60" s="250"/>
      <c r="DFI60" s="250"/>
      <c r="DFJ60" s="250"/>
      <c r="DFK60" s="250"/>
      <c r="DFL60" s="250"/>
      <c r="DFM60" s="250"/>
      <c r="DFN60" s="250"/>
      <c r="DFO60" s="250"/>
      <c r="DFP60" s="250"/>
      <c r="DFQ60" s="250"/>
      <c r="DFR60" s="250"/>
      <c r="DFS60" s="250"/>
      <c r="DFT60" s="250"/>
      <c r="DFU60" s="250"/>
      <c r="DFV60" s="250"/>
      <c r="DFW60" s="250"/>
      <c r="DFX60" s="250"/>
      <c r="DFY60" s="250"/>
      <c r="DFZ60" s="250"/>
      <c r="DGA60" s="250"/>
      <c r="DGB60" s="250"/>
      <c r="DGC60" s="250"/>
      <c r="DGD60" s="250"/>
      <c r="DGE60" s="250"/>
      <c r="DGF60" s="250"/>
      <c r="DGG60" s="250"/>
      <c r="DGH60" s="250"/>
      <c r="DGI60" s="250"/>
      <c r="DGJ60" s="250"/>
      <c r="DGK60" s="250"/>
      <c r="DGL60" s="250"/>
      <c r="DGM60" s="250"/>
      <c r="DGN60" s="250"/>
      <c r="DGO60" s="250"/>
      <c r="DGP60" s="250"/>
      <c r="DGQ60" s="250"/>
      <c r="DGR60" s="250"/>
      <c r="DGS60" s="250"/>
      <c r="DGT60" s="250"/>
      <c r="DGU60" s="250"/>
      <c r="DGV60" s="250"/>
      <c r="DGW60" s="250"/>
      <c r="DGX60" s="250"/>
      <c r="DGY60" s="250"/>
      <c r="DGZ60" s="250"/>
      <c r="DHA60" s="250"/>
      <c r="DHB60" s="250"/>
      <c r="DHC60" s="250"/>
      <c r="DHD60" s="250"/>
      <c r="DHE60" s="250"/>
      <c r="DHF60" s="250"/>
      <c r="DHG60" s="250"/>
      <c r="DHH60" s="250"/>
      <c r="DHI60" s="250"/>
      <c r="DHJ60" s="250"/>
      <c r="DHK60" s="250"/>
      <c r="DHL60" s="250"/>
      <c r="DHM60" s="250"/>
      <c r="DHN60" s="250"/>
      <c r="DHO60" s="250"/>
      <c r="DHP60" s="250"/>
      <c r="DHQ60" s="250"/>
      <c r="DHR60" s="250"/>
      <c r="DHS60" s="250"/>
      <c r="DHT60" s="250"/>
      <c r="DHU60" s="250"/>
      <c r="DHV60" s="250"/>
      <c r="DHW60" s="250"/>
      <c r="DHX60" s="250"/>
      <c r="DHY60" s="250"/>
      <c r="DHZ60" s="250"/>
      <c r="DIA60" s="250"/>
      <c r="DIB60" s="250"/>
      <c r="DIC60" s="250"/>
      <c r="DID60" s="250"/>
      <c r="DIE60" s="250"/>
      <c r="DIF60" s="250"/>
      <c r="DIG60" s="250"/>
      <c r="DIH60" s="250"/>
      <c r="DII60" s="250"/>
      <c r="DIJ60" s="250"/>
      <c r="DIK60" s="250"/>
      <c r="DIL60" s="250"/>
      <c r="DIM60" s="250"/>
      <c r="DIN60" s="250"/>
      <c r="DIO60" s="250"/>
      <c r="DIP60" s="250"/>
      <c r="DIQ60" s="250"/>
      <c r="DIR60" s="250"/>
      <c r="DIS60" s="250"/>
      <c r="DIT60" s="250"/>
      <c r="DIU60" s="250"/>
      <c r="DIV60" s="250"/>
      <c r="DIW60" s="250"/>
      <c r="DIX60" s="250"/>
      <c r="DIY60" s="250"/>
      <c r="DIZ60" s="250"/>
      <c r="DJA60" s="250"/>
      <c r="DJB60" s="250"/>
      <c r="DJC60" s="250"/>
      <c r="DJD60" s="250"/>
      <c r="DJE60" s="250"/>
      <c r="DJF60" s="250"/>
      <c r="DJG60" s="250"/>
      <c r="DJH60" s="250"/>
      <c r="DJI60" s="250"/>
      <c r="DJJ60" s="250"/>
      <c r="DJK60" s="250"/>
      <c r="DJL60" s="250"/>
      <c r="DJM60" s="250"/>
      <c r="DJN60" s="250"/>
      <c r="DJO60" s="250"/>
      <c r="DJP60" s="250"/>
      <c r="DJQ60" s="250"/>
      <c r="DJR60" s="250"/>
      <c r="DJS60" s="250"/>
      <c r="DJT60" s="250"/>
      <c r="DJU60" s="250"/>
      <c r="DJV60" s="250"/>
      <c r="DJW60" s="250"/>
      <c r="DJX60" s="250"/>
      <c r="DJY60" s="250"/>
      <c r="DJZ60" s="250"/>
      <c r="DKA60" s="250"/>
      <c r="DKB60" s="250"/>
      <c r="DKC60" s="250"/>
      <c r="DKD60" s="250"/>
      <c r="DKE60" s="250"/>
      <c r="DKF60" s="250"/>
      <c r="DKG60" s="250"/>
      <c r="DKH60" s="250"/>
      <c r="DKI60" s="250"/>
      <c r="DKJ60" s="250"/>
      <c r="DKK60" s="250"/>
      <c r="DKL60" s="250"/>
      <c r="DKM60" s="250"/>
      <c r="DKN60" s="250"/>
      <c r="DKO60" s="250"/>
      <c r="DKP60" s="250"/>
      <c r="DKQ60" s="250"/>
      <c r="DKR60" s="250"/>
      <c r="DKS60" s="250"/>
      <c r="DKT60" s="250"/>
      <c r="DKU60" s="250"/>
      <c r="DKV60" s="250"/>
      <c r="DKW60" s="250"/>
      <c r="DKX60" s="250"/>
      <c r="DKY60" s="250"/>
      <c r="DKZ60" s="250"/>
      <c r="DLA60" s="250"/>
      <c r="DLB60" s="250"/>
      <c r="DLC60" s="250"/>
      <c r="DLD60" s="250"/>
      <c r="DLE60" s="250"/>
      <c r="DLF60" s="250"/>
      <c r="DLG60" s="250"/>
      <c r="DLH60" s="250"/>
      <c r="DLI60" s="250"/>
      <c r="DLJ60" s="250"/>
      <c r="DLK60" s="250"/>
      <c r="DLL60" s="250"/>
      <c r="DLM60" s="250"/>
      <c r="DLN60" s="250"/>
      <c r="DLO60" s="250"/>
      <c r="DLP60" s="250"/>
      <c r="DLQ60" s="250"/>
      <c r="DLR60" s="250"/>
      <c r="DLS60" s="250"/>
      <c r="DLT60" s="250"/>
      <c r="DLU60" s="250"/>
      <c r="DLV60" s="250"/>
      <c r="DLW60" s="250"/>
      <c r="DLX60" s="250"/>
      <c r="DLY60" s="250"/>
      <c r="DLZ60" s="250"/>
      <c r="DMA60" s="250"/>
      <c r="DMB60" s="250"/>
      <c r="DMC60" s="250"/>
      <c r="DMD60" s="250"/>
      <c r="DME60" s="250"/>
      <c r="DMF60" s="250"/>
      <c r="DMG60" s="250"/>
      <c r="DMH60" s="250"/>
      <c r="DMI60" s="250"/>
      <c r="DMJ60" s="250"/>
      <c r="DMK60" s="250"/>
      <c r="DML60" s="250"/>
      <c r="DMM60" s="250"/>
      <c r="DMN60" s="250"/>
      <c r="DMO60" s="250"/>
      <c r="DMP60" s="250"/>
      <c r="DMQ60" s="250"/>
      <c r="DMR60" s="250"/>
      <c r="DMS60" s="250"/>
      <c r="DMT60" s="250"/>
      <c r="DMU60" s="250"/>
      <c r="DMV60" s="250"/>
      <c r="DMW60" s="250"/>
      <c r="DMX60" s="250"/>
      <c r="DMY60" s="250"/>
      <c r="DMZ60" s="250"/>
      <c r="DNA60" s="250"/>
      <c r="DNB60" s="250"/>
      <c r="DNC60" s="250"/>
      <c r="DND60" s="250"/>
      <c r="DNE60" s="250"/>
      <c r="DNF60" s="250"/>
      <c r="DNG60" s="250"/>
      <c r="DNH60" s="250"/>
      <c r="DNI60" s="250"/>
      <c r="DNJ60" s="250"/>
      <c r="DNK60" s="250"/>
      <c r="DNL60" s="250"/>
      <c r="DNM60" s="250"/>
      <c r="DNN60" s="250"/>
      <c r="DNO60" s="250"/>
      <c r="DNP60" s="250"/>
      <c r="DNQ60" s="250"/>
      <c r="DNR60" s="250"/>
      <c r="DNS60" s="250"/>
      <c r="DNT60" s="250"/>
      <c r="DNU60" s="250"/>
      <c r="DNV60" s="250"/>
      <c r="DNW60" s="250"/>
      <c r="DNX60" s="250"/>
      <c r="DNY60" s="250"/>
      <c r="DNZ60" s="250"/>
      <c r="DOA60" s="250"/>
      <c r="DOB60" s="250"/>
      <c r="DOC60" s="250"/>
      <c r="DOD60" s="250"/>
      <c r="DOE60" s="250"/>
      <c r="DOF60" s="250"/>
      <c r="DOG60" s="250"/>
      <c r="DOH60" s="250"/>
      <c r="DOI60" s="250"/>
      <c r="DOJ60" s="250"/>
      <c r="DOK60" s="250"/>
      <c r="DOL60" s="250"/>
      <c r="DOM60" s="250"/>
      <c r="DON60" s="250"/>
      <c r="DOO60" s="250"/>
      <c r="DOP60" s="250"/>
      <c r="DOQ60" s="250"/>
      <c r="DOR60" s="250"/>
      <c r="DOS60" s="250"/>
      <c r="DOT60" s="250"/>
      <c r="DOU60" s="250"/>
      <c r="DOV60" s="250"/>
      <c r="DOW60" s="250"/>
      <c r="DOX60" s="250"/>
      <c r="DOY60" s="250"/>
      <c r="DOZ60" s="250"/>
      <c r="DPA60" s="250"/>
      <c r="DPB60" s="250"/>
      <c r="DPC60" s="250"/>
      <c r="DPD60" s="250"/>
      <c r="DPE60" s="250"/>
      <c r="DPF60" s="250"/>
      <c r="DPG60" s="250"/>
      <c r="DPH60" s="250"/>
      <c r="DPI60" s="250"/>
      <c r="DPJ60" s="250"/>
      <c r="DPK60" s="250"/>
      <c r="DPL60" s="250"/>
      <c r="DPM60" s="250"/>
      <c r="DPN60" s="250"/>
      <c r="DPO60" s="250"/>
      <c r="DPP60" s="250"/>
      <c r="DPQ60" s="250"/>
      <c r="DPR60" s="250"/>
      <c r="DPS60" s="250"/>
      <c r="DPT60" s="250"/>
      <c r="DPU60" s="250"/>
      <c r="DPV60" s="250"/>
      <c r="DPW60" s="250"/>
      <c r="DPX60" s="250"/>
      <c r="DPY60" s="250"/>
      <c r="DPZ60" s="250"/>
      <c r="DQA60" s="250"/>
      <c r="DQB60" s="250"/>
      <c r="DQC60" s="250"/>
      <c r="DQD60" s="250"/>
      <c r="DQE60" s="250"/>
      <c r="DQF60" s="250"/>
      <c r="DQG60" s="250"/>
      <c r="DQH60" s="250"/>
      <c r="DQI60" s="250"/>
      <c r="DQJ60" s="250"/>
      <c r="DQK60" s="250"/>
      <c r="DQL60" s="250"/>
      <c r="DQM60" s="250"/>
      <c r="DQN60" s="250"/>
      <c r="DQO60" s="250"/>
      <c r="DQP60" s="250"/>
      <c r="DQQ60" s="250"/>
      <c r="DQR60" s="250"/>
      <c r="DQS60" s="250"/>
      <c r="DQT60" s="250"/>
      <c r="DQU60" s="250"/>
      <c r="DQV60" s="250"/>
      <c r="DQW60" s="250"/>
      <c r="DQX60" s="250"/>
      <c r="DQY60" s="250"/>
      <c r="DQZ60" s="250"/>
      <c r="DRA60" s="250"/>
      <c r="DRB60" s="250"/>
      <c r="DRC60" s="250"/>
      <c r="DRD60" s="250"/>
      <c r="DRE60" s="250"/>
      <c r="DRF60" s="250"/>
      <c r="DRG60" s="250"/>
      <c r="DRH60" s="250"/>
      <c r="DRI60" s="250"/>
      <c r="DRJ60" s="250"/>
      <c r="DRK60" s="250"/>
      <c r="DRL60" s="250"/>
      <c r="DRM60" s="250"/>
      <c r="DRN60" s="250"/>
      <c r="DRO60" s="250"/>
      <c r="DRP60" s="250"/>
      <c r="DRQ60" s="250"/>
      <c r="DRR60" s="250"/>
      <c r="DRS60" s="250"/>
      <c r="DRT60" s="250"/>
      <c r="DRU60" s="250"/>
      <c r="DRV60" s="250"/>
      <c r="DRW60" s="250"/>
      <c r="DRX60" s="250"/>
      <c r="DRY60" s="250"/>
      <c r="DRZ60" s="250"/>
      <c r="DSA60" s="250"/>
      <c r="DSB60" s="250"/>
      <c r="DSC60" s="250"/>
      <c r="DSD60" s="250"/>
      <c r="DSE60" s="250"/>
      <c r="DSF60" s="250"/>
      <c r="DSG60" s="250"/>
      <c r="DSH60" s="250"/>
      <c r="DSI60" s="250"/>
      <c r="DSJ60" s="250"/>
      <c r="DSK60" s="250"/>
      <c r="DSL60" s="250"/>
      <c r="DSM60" s="250"/>
      <c r="DSN60" s="250"/>
      <c r="DSO60" s="250"/>
      <c r="DSP60" s="250"/>
      <c r="DSQ60" s="250"/>
      <c r="DSR60" s="250"/>
      <c r="DSS60" s="250"/>
      <c r="DST60" s="250"/>
      <c r="DSU60" s="250"/>
      <c r="DSV60" s="250"/>
      <c r="DSW60" s="250"/>
      <c r="DSX60" s="250"/>
      <c r="DSY60" s="250"/>
      <c r="DSZ60" s="250"/>
      <c r="DTA60" s="250"/>
      <c r="DTB60" s="250"/>
      <c r="DTC60" s="250"/>
      <c r="DTD60" s="250"/>
      <c r="DTE60" s="250"/>
      <c r="DTF60" s="250"/>
      <c r="DTG60" s="250"/>
      <c r="DTH60" s="250"/>
      <c r="DTI60" s="250"/>
      <c r="DTJ60" s="250"/>
      <c r="DTK60" s="250"/>
      <c r="DTL60" s="250"/>
      <c r="DTM60" s="250"/>
      <c r="DTN60" s="250"/>
      <c r="DTO60" s="250"/>
      <c r="DTP60" s="250"/>
      <c r="DTQ60" s="250"/>
      <c r="DTR60" s="250"/>
      <c r="DTS60" s="250"/>
      <c r="DTT60" s="250"/>
      <c r="DTU60" s="250"/>
      <c r="DTV60" s="250"/>
      <c r="DTW60" s="250"/>
      <c r="DTX60" s="250"/>
      <c r="DTY60" s="250"/>
      <c r="DTZ60" s="250"/>
      <c r="DUA60" s="250"/>
      <c r="DUB60" s="250"/>
      <c r="DUC60" s="250"/>
      <c r="DUD60" s="250"/>
      <c r="DUE60" s="250"/>
      <c r="DUF60" s="250"/>
      <c r="DUG60" s="250"/>
      <c r="DUH60" s="250"/>
      <c r="DUI60" s="250"/>
      <c r="DUJ60" s="250"/>
      <c r="DUK60" s="250"/>
      <c r="DUL60" s="250"/>
      <c r="DUM60" s="250"/>
      <c r="DUN60" s="250"/>
      <c r="DUO60" s="250"/>
      <c r="DUP60" s="250"/>
      <c r="DUQ60" s="250"/>
      <c r="DUR60" s="250"/>
      <c r="DUS60" s="250"/>
      <c r="DUT60" s="250"/>
      <c r="DUU60" s="250"/>
      <c r="DUV60" s="250"/>
      <c r="DUW60" s="250"/>
      <c r="DUX60" s="250"/>
      <c r="DUY60" s="250"/>
      <c r="DUZ60" s="250"/>
      <c r="DVA60" s="250"/>
      <c r="DVB60" s="250"/>
      <c r="DVC60" s="250"/>
      <c r="DVD60" s="250"/>
      <c r="DVE60" s="250"/>
      <c r="DVF60" s="250"/>
      <c r="DVG60" s="250"/>
      <c r="DVH60" s="250"/>
      <c r="DVI60" s="250"/>
      <c r="DVJ60" s="250"/>
      <c r="DVK60" s="250"/>
      <c r="DVL60" s="250"/>
      <c r="DVM60" s="250"/>
      <c r="DVN60" s="250"/>
      <c r="DVO60" s="250"/>
      <c r="DVP60" s="250"/>
      <c r="DVQ60" s="250"/>
      <c r="DVR60" s="250"/>
      <c r="DVS60" s="250"/>
      <c r="DVT60" s="250"/>
      <c r="DVU60" s="250"/>
      <c r="DVV60" s="250"/>
      <c r="DVW60" s="250"/>
      <c r="DVX60" s="250"/>
      <c r="DVY60" s="250"/>
      <c r="DVZ60" s="250"/>
      <c r="DWA60" s="250"/>
      <c r="DWB60" s="250"/>
      <c r="DWC60" s="250"/>
      <c r="DWD60" s="250"/>
      <c r="DWE60" s="250"/>
      <c r="DWF60" s="250"/>
      <c r="DWG60" s="250"/>
      <c r="DWH60" s="250"/>
      <c r="DWI60" s="250"/>
      <c r="DWJ60" s="250"/>
      <c r="DWK60" s="250"/>
      <c r="DWL60" s="250"/>
      <c r="DWM60" s="250"/>
      <c r="DWN60" s="250"/>
      <c r="DWO60" s="250"/>
      <c r="DWP60" s="250"/>
      <c r="DWQ60" s="250"/>
      <c r="DWR60" s="250"/>
      <c r="DWS60" s="250"/>
      <c r="DWT60" s="250"/>
      <c r="DWU60" s="250"/>
      <c r="DWV60" s="250"/>
      <c r="DWW60" s="250"/>
      <c r="DWX60" s="250"/>
      <c r="DWY60" s="250"/>
      <c r="DWZ60" s="250"/>
      <c r="DXA60" s="250"/>
      <c r="DXB60" s="250"/>
      <c r="DXC60" s="250"/>
      <c r="DXD60" s="250"/>
      <c r="DXE60" s="250"/>
      <c r="DXF60" s="250"/>
      <c r="DXG60" s="250"/>
      <c r="DXH60" s="250"/>
      <c r="DXI60" s="250"/>
      <c r="DXJ60" s="250"/>
      <c r="DXK60" s="250"/>
      <c r="DXL60" s="250"/>
      <c r="DXM60" s="250"/>
      <c r="DXN60" s="250"/>
      <c r="DXO60" s="250"/>
      <c r="DXP60" s="250"/>
      <c r="DXQ60" s="250"/>
      <c r="DXR60" s="250"/>
      <c r="DXS60" s="250"/>
      <c r="DXT60" s="250"/>
      <c r="DXU60" s="250"/>
      <c r="DXV60" s="250"/>
      <c r="DXW60" s="250"/>
      <c r="DXX60" s="250"/>
      <c r="DXY60" s="250"/>
      <c r="DXZ60" s="250"/>
      <c r="DYA60" s="250"/>
      <c r="DYB60" s="250"/>
      <c r="DYC60" s="250"/>
      <c r="DYD60" s="250"/>
      <c r="DYE60" s="250"/>
      <c r="DYF60" s="250"/>
      <c r="DYG60" s="250"/>
      <c r="DYH60" s="250"/>
      <c r="DYI60" s="250"/>
      <c r="DYJ60" s="250"/>
      <c r="DYK60" s="250"/>
      <c r="DYL60" s="250"/>
      <c r="DYM60" s="250"/>
      <c r="DYN60" s="250"/>
      <c r="DYO60" s="250"/>
      <c r="DYP60" s="250"/>
      <c r="DYQ60" s="250"/>
      <c r="DYR60" s="250"/>
      <c r="DYS60" s="250"/>
      <c r="DYT60" s="250"/>
      <c r="DYU60" s="250"/>
      <c r="DYV60" s="250"/>
      <c r="DYW60" s="250"/>
      <c r="DYX60" s="250"/>
      <c r="DYY60" s="250"/>
      <c r="DYZ60" s="250"/>
      <c r="DZA60" s="250"/>
      <c r="DZB60" s="250"/>
      <c r="DZC60" s="250"/>
      <c r="DZD60" s="250"/>
      <c r="DZE60" s="250"/>
      <c r="DZF60" s="250"/>
      <c r="DZG60" s="250"/>
      <c r="DZH60" s="250"/>
      <c r="DZI60" s="250"/>
      <c r="DZJ60" s="250"/>
      <c r="DZK60" s="250"/>
      <c r="DZL60" s="250"/>
      <c r="DZM60" s="250"/>
      <c r="DZN60" s="250"/>
      <c r="DZO60" s="250"/>
      <c r="DZP60" s="250"/>
      <c r="DZQ60" s="250"/>
      <c r="DZR60" s="250"/>
      <c r="DZS60" s="250"/>
      <c r="DZT60" s="250"/>
      <c r="DZU60" s="250"/>
      <c r="DZV60" s="250"/>
      <c r="DZW60" s="250"/>
      <c r="DZX60" s="250"/>
      <c r="DZY60" s="250"/>
      <c r="DZZ60" s="250"/>
      <c r="EAA60" s="250"/>
      <c r="EAB60" s="250"/>
      <c r="EAC60" s="250"/>
      <c r="EAD60" s="250"/>
      <c r="EAE60" s="250"/>
      <c r="EAF60" s="250"/>
      <c r="EAG60" s="250"/>
      <c r="EAH60" s="250"/>
      <c r="EAI60" s="250"/>
      <c r="EAJ60" s="250"/>
      <c r="EAK60" s="250"/>
      <c r="EAL60" s="250"/>
      <c r="EAM60" s="250"/>
      <c r="EAN60" s="250"/>
      <c r="EAO60" s="250"/>
      <c r="EAP60" s="250"/>
      <c r="EAQ60" s="250"/>
      <c r="EAR60" s="250"/>
      <c r="EAS60" s="250"/>
      <c r="EAT60" s="250"/>
      <c r="EAU60" s="250"/>
      <c r="EAV60" s="250"/>
      <c r="EAW60" s="250"/>
      <c r="EAX60" s="250"/>
      <c r="EAY60" s="250"/>
      <c r="EAZ60" s="250"/>
      <c r="EBA60" s="250"/>
      <c r="EBB60" s="250"/>
      <c r="EBC60" s="250"/>
      <c r="EBD60" s="250"/>
      <c r="EBE60" s="250"/>
      <c r="EBF60" s="250"/>
      <c r="EBG60" s="250"/>
      <c r="EBH60" s="250"/>
      <c r="EBI60" s="250"/>
      <c r="EBJ60" s="250"/>
      <c r="EBK60" s="250"/>
      <c r="EBL60" s="250"/>
      <c r="EBM60" s="250"/>
      <c r="EBN60" s="250"/>
      <c r="EBO60" s="250"/>
      <c r="EBP60" s="250"/>
      <c r="EBQ60" s="250"/>
      <c r="EBR60" s="250"/>
      <c r="EBS60" s="250"/>
      <c r="EBT60" s="250"/>
      <c r="EBU60" s="250"/>
      <c r="EBV60" s="250"/>
      <c r="EBW60" s="250"/>
      <c r="EBX60" s="250"/>
      <c r="EBY60" s="250"/>
      <c r="EBZ60" s="250"/>
      <c r="ECA60" s="250"/>
      <c r="ECB60" s="250"/>
      <c r="ECC60" s="250"/>
      <c r="ECD60" s="250"/>
      <c r="ECE60" s="250"/>
      <c r="ECF60" s="250"/>
      <c r="ECG60" s="250"/>
      <c r="ECH60" s="250"/>
      <c r="ECI60" s="250"/>
      <c r="ECJ60" s="250"/>
      <c r="ECK60" s="250"/>
      <c r="ECL60" s="250"/>
      <c r="ECM60" s="250"/>
      <c r="ECN60" s="250"/>
      <c r="ECO60" s="250"/>
      <c r="ECP60" s="250"/>
      <c r="ECQ60" s="250"/>
      <c r="ECR60" s="250"/>
      <c r="ECS60" s="250"/>
      <c r="ECT60" s="250"/>
      <c r="ECU60" s="250"/>
      <c r="ECV60" s="250"/>
      <c r="ECW60" s="250"/>
      <c r="ECX60" s="250"/>
      <c r="ECY60" s="250"/>
      <c r="ECZ60" s="250"/>
      <c r="EDA60" s="250"/>
      <c r="EDB60" s="250"/>
      <c r="EDC60" s="250"/>
      <c r="EDD60" s="250"/>
      <c r="EDE60" s="250"/>
      <c r="EDF60" s="250"/>
      <c r="EDG60" s="250"/>
      <c r="EDH60" s="250"/>
      <c r="EDI60" s="250"/>
      <c r="EDJ60" s="250"/>
      <c r="EDK60" s="250"/>
      <c r="EDL60" s="250"/>
      <c r="EDM60" s="250"/>
      <c r="EDN60" s="250"/>
      <c r="EDO60" s="250"/>
      <c r="EDP60" s="250"/>
      <c r="EDQ60" s="250"/>
      <c r="EDR60" s="250"/>
      <c r="EDS60" s="250"/>
      <c r="EDT60" s="250"/>
      <c r="EDU60" s="250"/>
      <c r="EDV60" s="250"/>
      <c r="EDW60" s="250"/>
      <c r="EDX60" s="250"/>
      <c r="EDY60" s="250"/>
      <c r="EDZ60" s="250"/>
      <c r="EEA60" s="250"/>
      <c r="EEB60" s="250"/>
      <c r="EEC60" s="250"/>
      <c r="EED60" s="250"/>
      <c r="EEE60" s="250"/>
      <c r="EEF60" s="250"/>
      <c r="EEG60" s="250"/>
      <c r="EEH60" s="250"/>
      <c r="EEI60" s="250"/>
      <c r="EEJ60" s="250"/>
      <c r="EEK60" s="250"/>
      <c r="EEL60" s="250"/>
      <c r="EEM60" s="250"/>
      <c r="EEN60" s="250"/>
      <c r="EEO60" s="250"/>
      <c r="EEP60" s="250"/>
      <c r="EEQ60" s="250"/>
      <c r="EER60" s="250"/>
      <c r="EES60" s="250"/>
      <c r="EET60" s="250"/>
      <c r="EEU60" s="250"/>
      <c r="EEV60" s="250"/>
      <c r="EEW60" s="250"/>
      <c r="EEX60" s="250"/>
      <c r="EEY60" s="250"/>
      <c r="EEZ60" s="250"/>
      <c r="EFA60" s="250"/>
      <c r="EFB60" s="250"/>
      <c r="EFC60" s="250"/>
      <c r="EFD60" s="250"/>
      <c r="EFE60" s="250"/>
      <c r="EFF60" s="250"/>
      <c r="EFG60" s="250"/>
      <c r="EFH60" s="250"/>
      <c r="EFI60" s="250"/>
      <c r="EFJ60" s="250"/>
      <c r="EFK60" s="250"/>
      <c r="EFL60" s="250"/>
      <c r="EFM60" s="250"/>
      <c r="EFN60" s="250"/>
      <c r="EFO60" s="250"/>
      <c r="EFP60" s="250"/>
      <c r="EFQ60" s="250"/>
      <c r="EFR60" s="250"/>
      <c r="EFS60" s="250"/>
      <c r="EFT60" s="250"/>
      <c r="EFU60" s="250"/>
      <c r="EFV60" s="250"/>
      <c r="EFW60" s="250"/>
      <c r="EFX60" s="250"/>
      <c r="EFY60" s="250"/>
      <c r="EFZ60" s="250"/>
      <c r="EGA60" s="250"/>
      <c r="EGB60" s="250"/>
      <c r="EGC60" s="250"/>
      <c r="EGD60" s="250"/>
      <c r="EGE60" s="250"/>
      <c r="EGF60" s="250"/>
      <c r="EGG60" s="250"/>
      <c r="EGH60" s="250"/>
      <c r="EGI60" s="250"/>
      <c r="EGJ60" s="250"/>
      <c r="EGK60" s="250"/>
      <c r="EGL60" s="250"/>
      <c r="EGM60" s="250"/>
      <c r="EGN60" s="250"/>
      <c r="EGO60" s="250"/>
      <c r="EGP60" s="250"/>
      <c r="EGQ60" s="250"/>
      <c r="EGR60" s="250"/>
      <c r="EGS60" s="250"/>
      <c r="EGT60" s="250"/>
      <c r="EGU60" s="250"/>
      <c r="EGV60" s="250"/>
      <c r="EGW60" s="250"/>
      <c r="EGX60" s="250"/>
      <c r="EGY60" s="250"/>
      <c r="EGZ60" s="250"/>
      <c r="EHA60" s="250"/>
      <c r="EHB60" s="250"/>
      <c r="EHC60" s="250"/>
      <c r="EHD60" s="250"/>
      <c r="EHE60" s="250"/>
      <c r="EHF60" s="250"/>
      <c r="EHG60" s="250"/>
      <c r="EHH60" s="250"/>
      <c r="EHI60" s="250"/>
      <c r="EHJ60" s="250"/>
      <c r="EHK60" s="250"/>
      <c r="EHL60" s="250"/>
      <c r="EHM60" s="250"/>
      <c r="EHN60" s="250"/>
      <c r="EHO60" s="250"/>
      <c r="EHP60" s="250"/>
      <c r="EHQ60" s="250"/>
      <c r="EHR60" s="250"/>
      <c r="EHS60" s="250"/>
      <c r="EHT60" s="250"/>
      <c r="EHU60" s="250"/>
      <c r="EHV60" s="250"/>
      <c r="EHW60" s="250"/>
      <c r="EHX60" s="250"/>
      <c r="EHY60" s="250"/>
      <c r="EHZ60" s="250"/>
      <c r="EIA60" s="250"/>
      <c r="EIB60" s="250"/>
      <c r="EIC60" s="250"/>
      <c r="EID60" s="250"/>
      <c r="EIE60" s="250"/>
      <c r="EIF60" s="250"/>
      <c r="EIG60" s="250"/>
      <c r="EIH60" s="250"/>
      <c r="EII60" s="250"/>
      <c r="EIJ60" s="250"/>
      <c r="EIK60" s="250"/>
      <c r="EIL60" s="250"/>
      <c r="EIM60" s="250"/>
      <c r="EIN60" s="250"/>
      <c r="EIO60" s="250"/>
      <c r="EIP60" s="250"/>
      <c r="EIQ60" s="250"/>
      <c r="EIR60" s="250"/>
      <c r="EIS60" s="250"/>
      <c r="EIT60" s="250"/>
      <c r="EIU60" s="250"/>
      <c r="EIV60" s="250"/>
      <c r="EIW60" s="250"/>
      <c r="EIX60" s="250"/>
      <c r="EIY60" s="250"/>
      <c r="EIZ60" s="250"/>
      <c r="EJA60" s="250"/>
      <c r="EJB60" s="250"/>
      <c r="EJC60" s="250"/>
      <c r="EJD60" s="250"/>
      <c r="EJE60" s="250"/>
      <c r="EJF60" s="250"/>
      <c r="EJG60" s="250"/>
      <c r="EJH60" s="250"/>
      <c r="EJI60" s="250"/>
      <c r="EJJ60" s="250"/>
      <c r="EJK60" s="250"/>
      <c r="EJL60" s="250"/>
      <c r="EJM60" s="250"/>
      <c r="EJN60" s="250"/>
      <c r="EJO60" s="250"/>
      <c r="EJP60" s="250"/>
      <c r="EJQ60" s="250"/>
      <c r="EJR60" s="250"/>
      <c r="EJS60" s="250"/>
      <c r="EJT60" s="250"/>
      <c r="EJU60" s="250"/>
      <c r="EJV60" s="250"/>
      <c r="EJW60" s="250"/>
      <c r="EJX60" s="250"/>
      <c r="EJY60" s="250"/>
      <c r="EJZ60" s="250"/>
      <c r="EKA60" s="250"/>
      <c r="EKB60" s="250"/>
      <c r="EKC60" s="250"/>
      <c r="EKD60" s="250"/>
      <c r="EKE60" s="250"/>
      <c r="EKF60" s="250"/>
      <c r="EKG60" s="250"/>
      <c r="EKH60" s="250"/>
      <c r="EKI60" s="250"/>
      <c r="EKJ60" s="250"/>
      <c r="EKK60" s="250"/>
      <c r="EKL60" s="250"/>
      <c r="EKM60" s="250"/>
      <c r="EKN60" s="250"/>
      <c r="EKO60" s="250"/>
      <c r="EKP60" s="250"/>
      <c r="EKQ60" s="250"/>
      <c r="EKR60" s="250"/>
      <c r="EKS60" s="250"/>
      <c r="EKT60" s="250"/>
      <c r="EKU60" s="250"/>
      <c r="EKV60" s="250"/>
      <c r="EKW60" s="250"/>
      <c r="EKX60" s="250"/>
      <c r="EKY60" s="250"/>
      <c r="EKZ60" s="250"/>
      <c r="ELA60" s="250"/>
      <c r="ELB60" s="250"/>
      <c r="ELC60" s="250"/>
      <c r="ELD60" s="250"/>
      <c r="ELE60" s="250"/>
      <c r="ELF60" s="250"/>
      <c r="ELG60" s="250"/>
      <c r="ELH60" s="250"/>
      <c r="ELI60" s="250"/>
      <c r="ELJ60" s="250"/>
      <c r="ELK60" s="250"/>
      <c r="ELL60" s="250"/>
      <c r="ELM60" s="250"/>
      <c r="ELN60" s="250"/>
      <c r="ELO60" s="250"/>
      <c r="ELP60" s="250"/>
      <c r="ELQ60" s="250"/>
      <c r="ELR60" s="250"/>
      <c r="ELS60" s="250"/>
      <c r="ELT60" s="250"/>
      <c r="ELU60" s="250"/>
      <c r="ELV60" s="250"/>
      <c r="ELW60" s="250"/>
      <c r="ELX60" s="250"/>
      <c r="ELY60" s="250"/>
      <c r="ELZ60" s="250"/>
      <c r="EMA60" s="250"/>
      <c r="EMB60" s="250"/>
      <c r="EMC60" s="250"/>
      <c r="EMD60" s="250"/>
      <c r="EME60" s="250"/>
      <c r="EMF60" s="250"/>
      <c r="EMG60" s="250"/>
      <c r="EMH60" s="250"/>
      <c r="EMI60" s="250"/>
      <c r="EMJ60" s="250"/>
      <c r="EMK60" s="250"/>
      <c r="EML60" s="250"/>
      <c r="EMM60" s="250"/>
      <c r="EMN60" s="250"/>
      <c r="EMO60" s="250"/>
      <c r="EMP60" s="250"/>
      <c r="EMQ60" s="250"/>
      <c r="EMR60" s="250"/>
      <c r="EMS60" s="250"/>
      <c r="EMT60" s="250"/>
      <c r="EMU60" s="250"/>
      <c r="EMV60" s="250"/>
      <c r="EMW60" s="250"/>
      <c r="EMX60" s="250"/>
      <c r="EMY60" s="250"/>
      <c r="EMZ60" s="250"/>
      <c r="ENA60" s="250"/>
      <c r="ENB60" s="250"/>
      <c r="ENC60" s="250"/>
      <c r="END60" s="250"/>
      <c r="ENE60" s="250"/>
      <c r="ENF60" s="250"/>
      <c r="ENG60" s="250"/>
      <c r="ENH60" s="250"/>
      <c r="ENI60" s="250"/>
      <c r="ENJ60" s="250"/>
      <c r="ENK60" s="250"/>
      <c r="ENL60" s="250"/>
      <c r="ENM60" s="250"/>
      <c r="ENN60" s="250"/>
      <c r="ENO60" s="250"/>
      <c r="ENP60" s="250"/>
      <c r="ENQ60" s="250"/>
      <c r="ENR60" s="250"/>
      <c r="ENS60" s="250"/>
      <c r="ENT60" s="250"/>
      <c r="ENU60" s="250"/>
      <c r="ENV60" s="250"/>
      <c r="ENW60" s="250"/>
      <c r="ENX60" s="250"/>
      <c r="ENY60" s="250"/>
      <c r="ENZ60" s="250"/>
      <c r="EOA60" s="250"/>
      <c r="EOB60" s="250"/>
      <c r="EOC60" s="250"/>
      <c r="EOD60" s="250"/>
      <c r="EOE60" s="250"/>
      <c r="EOF60" s="250"/>
      <c r="EOG60" s="250"/>
      <c r="EOH60" s="250"/>
      <c r="EOI60" s="250"/>
      <c r="EOJ60" s="250"/>
      <c r="EOK60" s="250"/>
      <c r="EOL60" s="250"/>
      <c r="EOM60" s="250"/>
      <c r="EON60" s="250"/>
      <c r="EOO60" s="250"/>
      <c r="EOP60" s="250"/>
      <c r="EOQ60" s="250"/>
      <c r="EOR60" s="250"/>
      <c r="EOS60" s="250"/>
      <c r="EOT60" s="250"/>
      <c r="EOU60" s="250"/>
      <c r="EOV60" s="250"/>
      <c r="EOW60" s="250"/>
      <c r="EOX60" s="250"/>
      <c r="EOY60" s="250"/>
      <c r="EOZ60" s="250"/>
      <c r="EPA60" s="250"/>
      <c r="EPB60" s="250"/>
      <c r="EPC60" s="250"/>
      <c r="EPD60" s="250"/>
      <c r="EPE60" s="250"/>
      <c r="EPF60" s="250"/>
      <c r="EPG60" s="250"/>
      <c r="EPH60" s="250"/>
      <c r="EPI60" s="250"/>
      <c r="EPJ60" s="250"/>
      <c r="EPK60" s="250"/>
      <c r="EPL60" s="250"/>
      <c r="EPM60" s="250"/>
      <c r="EPN60" s="250"/>
      <c r="EPO60" s="250"/>
      <c r="EPP60" s="250"/>
      <c r="EPQ60" s="250"/>
      <c r="EPR60" s="250"/>
      <c r="EPS60" s="250"/>
      <c r="EPT60" s="250"/>
      <c r="EPU60" s="250"/>
      <c r="EPV60" s="250"/>
      <c r="EPW60" s="250"/>
      <c r="EPX60" s="250"/>
      <c r="EPY60" s="250"/>
      <c r="EPZ60" s="250"/>
      <c r="EQA60" s="250"/>
      <c r="EQB60" s="250"/>
      <c r="EQC60" s="250"/>
      <c r="EQD60" s="250"/>
      <c r="EQE60" s="250"/>
      <c r="EQF60" s="250"/>
      <c r="EQG60" s="250"/>
      <c r="EQH60" s="250"/>
      <c r="EQI60" s="250"/>
      <c r="EQJ60" s="250"/>
      <c r="EQK60" s="250"/>
      <c r="EQL60" s="250"/>
      <c r="EQM60" s="250"/>
      <c r="EQN60" s="250"/>
      <c r="EQO60" s="250"/>
      <c r="EQP60" s="250"/>
      <c r="EQQ60" s="250"/>
      <c r="EQR60" s="250"/>
      <c r="EQS60" s="250"/>
      <c r="EQT60" s="250"/>
      <c r="EQU60" s="250"/>
      <c r="EQV60" s="250"/>
      <c r="EQW60" s="250"/>
      <c r="EQX60" s="250"/>
      <c r="EQY60" s="250"/>
      <c r="EQZ60" s="250"/>
      <c r="ERA60" s="250"/>
      <c r="ERB60" s="250"/>
      <c r="ERC60" s="250"/>
      <c r="ERD60" s="250"/>
      <c r="ERE60" s="250"/>
      <c r="ERF60" s="250"/>
      <c r="ERG60" s="250"/>
      <c r="ERH60" s="250"/>
      <c r="ERI60" s="250"/>
      <c r="ERJ60" s="250"/>
      <c r="ERK60" s="250"/>
      <c r="ERL60" s="250"/>
      <c r="ERM60" s="250"/>
      <c r="ERN60" s="250"/>
      <c r="ERO60" s="250"/>
      <c r="ERP60" s="250"/>
      <c r="ERQ60" s="250"/>
      <c r="ERR60" s="250"/>
      <c r="ERS60" s="250"/>
      <c r="ERT60" s="250"/>
      <c r="ERU60" s="250"/>
      <c r="ERV60" s="250"/>
      <c r="ERW60" s="250"/>
      <c r="ERX60" s="250"/>
      <c r="ERY60" s="250"/>
      <c r="ERZ60" s="250"/>
      <c r="ESA60" s="250"/>
      <c r="ESB60" s="250"/>
      <c r="ESC60" s="250"/>
      <c r="ESD60" s="250"/>
      <c r="ESE60" s="250"/>
      <c r="ESF60" s="250"/>
      <c r="ESG60" s="250"/>
      <c r="ESH60" s="250"/>
      <c r="ESI60" s="250"/>
      <c r="ESJ60" s="250"/>
      <c r="ESK60" s="250"/>
      <c r="ESL60" s="250"/>
      <c r="ESM60" s="250"/>
      <c r="ESN60" s="250"/>
      <c r="ESO60" s="250"/>
      <c r="ESP60" s="250"/>
      <c r="ESQ60" s="250"/>
      <c r="ESR60" s="250"/>
      <c r="ESS60" s="250"/>
      <c r="EST60" s="250"/>
      <c r="ESU60" s="250"/>
      <c r="ESV60" s="250"/>
      <c r="ESW60" s="250"/>
      <c r="ESX60" s="250"/>
      <c r="ESY60" s="250"/>
      <c r="ESZ60" s="250"/>
      <c r="ETA60" s="250"/>
      <c r="ETB60" s="250"/>
      <c r="ETC60" s="250"/>
      <c r="ETD60" s="250"/>
      <c r="ETE60" s="250"/>
      <c r="ETF60" s="250"/>
      <c r="ETG60" s="250"/>
      <c r="ETH60" s="250"/>
      <c r="ETI60" s="250"/>
      <c r="ETJ60" s="250"/>
      <c r="ETK60" s="250"/>
      <c r="ETL60" s="250"/>
      <c r="ETM60" s="250"/>
      <c r="ETN60" s="250"/>
      <c r="ETO60" s="250"/>
      <c r="ETP60" s="250"/>
      <c r="ETQ60" s="250"/>
      <c r="ETR60" s="250"/>
      <c r="ETS60" s="250"/>
      <c r="ETT60" s="250"/>
      <c r="ETU60" s="250"/>
      <c r="ETV60" s="250"/>
      <c r="ETW60" s="250"/>
      <c r="ETX60" s="250"/>
      <c r="ETY60" s="250"/>
      <c r="ETZ60" s="250"/>
      <c r="EUA60" s="250"/>
      <c r="EUB60" s="250"/>
      <c r="EUC60" s="250"/>
      <c r="EUD60" s="250"/>
      <c r="EUE60" s="250"/>
      <c r="EUF60" s="250"/>
      <c r="EUG60" s="250"/>
      <c r="EUH60" s="250"/>
      <c r="EUI60" s="250"/>
      <c r="EUJ60" s="250"/>
      <c r="EUK60" s="250"/>
      <c r="EUL60" s="250"/>
      <c r="EUM60" s="250"/>
      <c r="EUN60" s="250"/>
      <c r="EUO60" s="250"/>
      <c r="EUP60" s="250"/>
      <c r="EUQ60" s="250"/>
      <c r="EUR60" s="250"/>
      <c r="EUS60" s="250"/>
      <c r="EUT60" s="250"/>
      <c r="EUU60" s="250"/>
      <c r="EUV60" s="250"/>
      <c r="EUW60" s="250"/>
      <c r="EUX60" s="250"/>
      <c r="EUY60" s="250"/>
      <c r="EUZ60" s="250"/>
      <c r="EVA60" s="250"/>
      <c r="EVB60" s="250"/>
      <c r="EVC60" s="250"/>
      <c r="EVD60" s="250"/>
      <c r="EVE60" s="250"/>
      <c r="EVF60" s="250"/>
      <c r="EVG60" s="250"/>
      <c r="EVH60" s="250"/>
      <c r="EVI60" s="250"/>
      <c r="EVJ60" s="250"/>
      <c r="EVK60" s="250"/>
      <c r="EVL60" s="250"/>
      <c r="EVM60" s="250"/>
      <c r="EVN60" s="250"/>
      <c r="EVO60" s="250"/>
      <c r="EVP60" s="250"/>
      <c r="EVQ60" s="250"/>
      <c r="EVR60" s="250"/>
      <c r="EVS60" s="250"/>
      <c r="EVT60" s="250"/>
      <c r="EVU60" s="250"/>
      <c r="EVV60" s="250"/>
      <c r="EVW60" s="250"/>
      <c r="EVX60" s="250"/>
      <c r="EVY60" s="250"/>
      <c r="EVZ60" s="250"/>
      <c r="EWA60" s="250"/>
      <c r="EWB60" s="250"/>
      <c r="EWC60" s="250"/>
      <c r="EWD60" s="250"/>
      <c r="EWE60" s="250"/>
      <c r="EWF60" s="250"/>
      <c r="EWG60" s="250"/>
      <c r="EWH60" s="250"/>
      <c r="EWI60" s="250"/>
      <c r="EWJ60" s="250"/>
      <c r="EWK60" s="250"/>
      <c r="EWL60" s="250"/>
      <c r="EWM60" s="250"/>
      <c r="EWN60" s="250"/>
      <c r="EWO60" s="250"/>
      <c r="EWP60" s="250"/>
      <c r="EWQ60" s="250"/>
      <c r="EWR60" s="250"/>
      <c r="EWS60" s="250"/>
      <c r="EWT60" s="250"/>
      <c r="EWU60" s="250"/>
      <c r="EWV60" s="250"/>
      <c r="EWW60" s="250"/>
      <c r="EWX60" s="250"/>
      <c r="EWY60" s="250"/>
      <c r="EWZ60" s="250"/>
      <c r="EXA60" s="250"/>
      <c r="EXB60" s="250"/>
      <c r="EXC60" s="250"/>
      <c r="EXD60" s="250"/>
      <c r="EXE60" s="250"/>
      <c r="EXF60" s="250"/>
      <c r="EXG60" s="250"/>
      <c r="EXH60" s="250"/>
      <c r="EXI60" s="250"/>
      <c r="EXJ60" s="250"/>
      <c r="EXK60" s="250"/>
      <c r="EXL60" s="250"/>
      <c r="EXM60" s="250"/>
      <c r="EXN60" s="250"/>
      <c r="EXO60" s="250"/>
      <c r="EXP60" s="250"/>
      <c r="EXQ60" s="250"/>
      <c r="EXR60" s="250"/>
      <c r="EXS60" s="250"/>
      <c r="EXT60" s="250"/>
      <c r="EXU60" s="250"/>
      <c r="EXV60" s="250"/>
      <c r="EXW60" s="250"/>
      <c r="EXX60" s="250"/>
      <c r="EXY60" s="250"/>
      <c r="EXZ60" s="250"/>
      <c r="EYA60" s="250"/>
      <c r="EYB60" s="250"/>
      <c r="EYC60" s="250"/>
      <c r="EYD60" s="250"/>
      <c r="EYE60" s="250"/>
      <c r="EYF60" s="250"/>
      <c r="EYG60" s="250"/>
      <c r="EYH60" s="250"/>
      <c r="EYI60" s="250"/>
      <c r="EYJ60" s="250"/>
      <c r="EYK60" s="250"/>
      <c r="EYL60" s="250"/>
      <c r="EYM60" s="250"/>
      <c r="EYN60" s="250"/>
      <c r="EYO60" s="250"/>
      <c r="EYP60" s="250"/>
      <c r="EYQ60" s="250"/>
      <c r="EYR60" s="250"/>
      <c r="EYS60" s="250"/>
      <c r="EYT60" s="250"/>
      <c r="EYU60" s="250"/>
      <c r="EYV60" s="250"/>
      <c r="EYW60" s="250"/>
      <c r="EYX60" s="250"/>
      <c r="EYY60" s="250"/>
      <c r="EYZ60" s="250"/>
      <c r="EZA60" s="250"/>
      <c r="EZB60" s="250"/>
      <c r="EZC60" s="250"/>
      <c r="EZD60" s="250"/>
      <c r="EZE60" s="250"/>
      <c r="EZF60" s="250"/>
      <c r="EZG60" s="250"/>
      <c r="EZH60" s="250"/>
      <c r="EZI60" s="250"/>
      <c r="EZJ60" s="250"/>
      <c r="EZK60" s="250"/>
      <c r="EZL60" s="250"/>
      <c r="EZM60" s="250"/>
      <c r="EZN60" s="250"/>
      <c r="EZO60" s="250"/>
      <c r="EZP60" s="250"/>
      <c r="EZQ60" s="250"/>
      <c r="EZR60" s="250"/>
      <c r="EZS60" s="250"/>
      <c r="EZT60" s="250"/>
      <c r="EZU60" s="250"/>
      <c r="EZV60" s="250"/>
      <c r="EZW60" s="250"/>
      <c r="EZX60" s="250"/>
      <c r="EZY60" s="250"/>
      <c r="EZZ60" s="250"/>
      <c r="FAA60" s="250"/>
      <c r="FAB60" s="250"/>
      <c r="FAC60" s="250"/>
      <c r="FAD60" s="250"/>
      <c r="FAE60" s="250"/>
      <c r="FAF60" s="250"/>
      <c r="FAG60" s="250"/>
      <c r="FAH60" s="250"/>
      <c r="FAI60" s="250"/>
      <c r="FAJ60" s="250"/>
      <c r="FAK60" s="250"/>
      <c r="FAL60" s="250"/>
      <c r="FAM60" s="250"/>
      <c r="FAN60" s="250"/>
      <c r="FAO60" s="250"/>
      <c r="FAP60" s="250"/>
      <c r="FAQ60" s="250"/>
      <c r="FAR60" s="250"/>
      <c r="FAS60" s="250"/>
      <c r="FAT60" s="250"/>
      <c r="FAU60" s="250"/>
      <c r="FAV60" s="250"/>
      <c r="FAW60" s="250"/>
      <c r="FAX60" s="250"/>
      <c r="FAY60" s="250"/>
      <c r="FAZ60" s="250"/>
      <c r="FBA60" s="250"/>
      <c r="FBB60" s="250"/>
      <c r="FBC60" s="250"/>
      <c r="FBD60" s="250"/>
      <c r="FBE60" s="250"/>
      <c r="FBF60" s="250"/>
      <c r="FBG60" s="250"/>
      <c r="FBH60" s="250"/>
      <c r="FBI60" s="250"/>
      <c r="FBJ60" s="250"/>
      <c r="FBK60" s="250"/>
      <c r="FBL60" s="250"/>
      <c r="FBM60" s="250"/>
      <c r="FBN60" s="250"/>
      <c r="FBO60" s="250"/>
      <c r="FBP60" s="250"/>
      <c r="FBQ60" s="250"/>
      <c r="FBR60" s="250"/>
      <c r="FBS60" s="250"/>
      <c r="FBT60" s="250"/>
      <c r="FBU60" s="250"/>
      <c r="FBV60" s="250"/>
      <c r="FBW60" s="250"/>
      <c r="FBX60" s="250"/>
      <c r="FBY60" s="250"/>
      <c r="FBZ60" s="250"/>
      <c r="FCA60" s="250"/>
      <c r="FCB60" s="250"/>
      <c r="FCC60" s="250"/>
      <c r="FCD60" s="250"/>
      <c r="FCE60" s="250"/>
      <c r="FCF60" s="250"/>
      <c r="FCG60" s="250"/>
      <c r="FCH60" s="250"/>
      <c r="FCI60" s="250"/>
      <c r="FCJ60" s="250"/>
      <c r="FCK60" s="250"/>
      <c r="FCL60" s="250"/>
      <c r="FCM60" s="250"/>
      <c r="FCN60" s="250"/>
      <c r="FCO60" s="250"/>
      <c r="FCP60" s="250"/>
      <c r="FCQ60" s="250"/>
      <c r="FCR60" s="250"/>
      <c r="FCS60" s="250"/>
      <c r="FCT60" s="250"/>
      <c r="FCU60" s="250"/>
      <c r="FCV60" s="250"/>
      <c r="FCW60" s="250"/>
      <c r="FCX60" s="250"/>
      <c r="FCY60" s="250"/>
      <c r="FCZ60" s="250"/>
      <c r="FDA60" s="250"/>
      <c r="FDB60" s="250"/>
      <c r="FDC60" s="250"/>
      <c r="FDD60" s="250"/>
      <c r="FDE60" s="250"/>
      <c r="FDF60" s="250"/>
      <c r="FDG60" s="250"/>
      <c r="FDH60" s="250"/>
      <c r="FDI60" s="250"/>
      <c r="FDJ60" s="250"/>
      <c r="FDK60" s="250"/>
      <c r="FDL60" s="250"/>
      <c r="FDM60" s="250"/>
      <c r="FDN60" s="250"/>
      <c r="FDO60" s="250"/>
      <c r="FDP60" s="250"/>
      <c r="FDQ60" s="250"/>
      <c r="FDR60" s="250"/>
      <c r="FDS60" s="250"/>
      <c r="FDT60" s="250"/>
      <c r="FDU60" s="250"/>
      <c r="FDV60" s="250"/>
      <c r="FDW60" s="250"/>
      <c r="FDX60" s="250"/>
      <c r="FDY60" s="250"/>
      <c r="FDZ60" s="250"/>
      <c r="FEA60" s="250"/>
      <c r="FEB60" s="250"/>
      <c r="FEC60" s="250"/>
      <c r="FED60" s="250"/>
      <c r="FEE60" s="250"/>
      <c r="FEF60" s="250"/>
      <c r="FEG60" s="250"/>
      <c r="FEH60" s="250"/>
      <c r="FEI60" s="250"/>
      <c r="FEJ60" s="250"/>
      <c r="FEK60" s="250"/>
      <c r="FEL60" s="250"/>
      <c r="FEM60" s="250"/>
      <c r="FEN60" s="250"/>
      <c r="FEO60" s="250"/>
      <c r="FEP60" s="250"/>
      <c r="FEQ60" s="250"/>
      <c r="FER60" s="250"/>
      <c r="FES60" s="250"/>
      <c r="FET60" s="250"/>
      <c r="FEU60" s="250"/>
      <c r="FEV60" s="250"/>
      <c r="FEW60" s="250"/>
      <c r="FEX60" s="250"/>
      <c r="FEY60" s="250"/>
      <c r="FEZ60" s="250"/>
      <c r="FFA60" s="250"/>
      <c r="FFB60" s="250"/>
      <c r="FFC60" s="250"/>
      <c r="FFD60" s="250"/>
      <c r="FFE60" s="250"/>
      <c r="FFF60" s="250"/>
      <c r="FFG60" s="250"/>
      <c r="FFH60" s="250"/>
      <c r="FFI60" s="250"/>
      <c r="FFJ60" s="250"/>
      <c r="FFK60" s="250"/>
      <c r="FFL60" s="250"/>
      <c r="FFM60" s="250"/>
      <c r="FFN60" s="250"/>
      <c r="FFO60" s="250"/>
      <c r="FFP60" s="250"/>
      <c r="FFQ60" s="250"/>
      <c r="FFR60" s="250"/>
      <c r="FFS60" s="250"/>
      <c r="FFT60" s="250"/>
      <c r="FFU60" s="250"/>
      <c r="FFV60" s="250"/>
      <c r="FFW60" s="250"/>
      <c r="FFX60" s="250"/>
      <c r="FFY60" s="250"/>
      <c r="FFZ60" s="250"/>
      <c r="FGA60" s="250"/>
      <c r="FGB60" s="250"/>
      <c r="FGC60" s="250"/>
      <c r="FGD60" s="250"/>
      <c r="FGE60" s="250"/>
      <c r="FGF60" s="250"/>
      <c r="FGG60" s="250"/>
      <c r="FGH60" s="250"/>
      <c r="FGI60" s="250"/>
      <c r="FGJ60" s="250"/>
      <c r="FGK60" s="250"/>
      <c r="FGL60" s="250"/>
      <c r="FGM60" s="250"/>
      <c r="FGN60" s="250"/>
      <c r="FGO60" s="250"/>
      <c r="FGP60" s="250"/>
      <c r="FGQ60" s="250"/>
      <c r="FGR60" s="250"/>
      <c r="FGS60" s="250"/>
      <c r="FGT60" s="250"/>
      <c r="FGU60" s="250"/>
      <c r="FGV60" s="250"/>
      <c r="FGW60" s="250"/>
      <c r="FGX60" s="250"/>
      <c r="FGY60" s="250"/>
      <c r="FGZ60" s="250"/>
      <c r="FHA60" s="250"/>
      <c r="FHB60" s="250"/>
      <c r="FHC60" s="250"/>
      <c r="FHD60" s="250"/>
      <c r="FHE60" s="250"/>
      <c r="FHF60" s="250"/>
      <c r="FHG60" s="250"/>
      <c r="FHH60" s="250"/>
      <c r="FHI60" s="250"/>
      <c r="FHJ60" s="250"/>
      <c r="FHK60" s="250"/>
      <c r="FHL60" s="250"/>
      <c r="FHM60" s="250"/>
      <c r="FHN60" s="250"/>
      <c r="FHO60" s="250"/>
      <c r="FHP60" s="250"/>
      <c r="FHQ60" s="250"/>
      <c r="FHR60" s="250"/>
      <c r="FHS60" s="250"/>
      <c r="FHT60" s="250"/>
      <c r="FHU60" s="250"/>
      <c r="FHV60" s="250"/>
      <c r="FHW60" s="250"/>
      <c r="FHX60" s="250"/>
      <c r="FHY60" s="250"/>
      <c r="FHZ60" s="250"/>
      <c r="FIA60" s="250"/>
      <c r="FIB60" s="250"/>
      <c r="FIC60" s="250"/>
      <c r="FID60" s="250"/>
      <c r="FIE60" s="250"/>
      <c r="FIF60" s="250"/>
      <c r="FIG60" s="250"/>
      <c r="FIH60" s="250"/>
      <c r="FII60" s="250"/>
      <c r="FIJ60" s="250"/>
      <c r="FIK60" s="250"/>
      <c r="FIL60" s="250"/>
      <c r="FIM60" s="250"/>
      <c r="FIN60" s="250"/>
      <c r="FIO60" s="250"/>
      <c r="FIP60" s="250"/>
      <c r="FIQ60" s="250"/>
      <c r="FIR60" s="250"/>
      <c r="FIS60" s="250"/>
      <c r="FIT60" s="250"/>
      <c r="FIU60" s="250"/>
      <c r="FIV60" s="250"/>
      <c r="FIW60" s="250"/>
      <c r="FIX60" s="250"/>
      <c r="FIY60" s="250"/>
      <c r="FIZ60" s="250"/>
      <c r="FJA60" s="250"/>
      <c r="FJB60" s="250"/>
      <c r="FJC60" s="250"/>
      <c r="FJD60" s="250"/>
      <c r="FJE60" s="250"/>
      <c r="FJF60" s="250"/>
      <c r="FJG60" s="250"/>
      <c r="FJH60" s="250"/>
      <c r="FJI60" s="250"/>
      <c r="FJJ60" s="250"/>
      <c r="FJK60" s="250"/>
      <c r="FJL60" s="250"/>
      <c r="FJM60" s="250"/>
      <c r="FJN60" s="250"/>
      <c r="FJO60" s="250"/>
      <c r="FJP60" s="250"/>
      <c r="FJQ60" s="250"/>
      <c r="FJR60" s="250"/>
      <c r="FJS60" s="250"/>
      <c r="FJT60" s="250"/>
      <c r="FJU60" s="250"/>
      <c r="FJV60" s="250"/>
      <c r="FJW60" s="250"/>
      <c r="FJX60" s="250"/>
      <c r="FJY60" s="250"/>
      <c r="FJZ60" s="250"/>
      <c r="FKA60" s="250"/>
      <c r="FKB60" s="250"/>
      <c r="FKC60" s="250"/>
      <c r="FKD60" s="250"/>
      <c r="FKE60" s="250"/>
      <c r="FKF60" s="250"/>
      <c r="FKG60" s="250"/>
      <c r="FKH60" s="250"/>
      <c r="FKI60" s="250"/>
      <c r="FKJ60" s="250"/>
      <c r="FKK60" s="250"/>
      <c r="FKL60" s="250"/>
      <c r="FKM60" s="250"/>
      <c r="FKN60" s="250"/>
      <c r="FKO60" s="250"/>
      <c r="FKP60" s="250"/>
      <c r="FKQ60" s="250"/>
      <c r="FKR60" s="250"/>
      <c r="FKS60" s="250"/>
      <c r="FKT60" s="250"/>
      <c r="FKU60" s="250"/>
      <c r="FKV60" s="250"/>
      <c r="FKW60" s="250"/>
      <c r="FKX60" s="250"/>
      <c r="FKY60" s="250"/>
      <c r="FKZ60" s="250"/>
      <c r="FLA60" s="250"/>
      <c r="FLB60" s="250"/>
      <c r="FLC60" s="250"/>
      <c r="FLD60" s="250"/>
      <c r="FLE60" s="250"/>
      <c r="FLF60" s="250"/>
      <c r="FLG60" s="250"/>
      <c r="FLH60" s="250"/>
      <c r="FLI60" s="250"/>
      <c r="FLJ60" s="250"/>
      <c r="FLK60" s="250"/>
      <c r="FLL60" s="250"/>
      <c r="FLM60" s="250"/>
      <c r="FLN60" s="250"/>
      <c r="FLO60" s="250"/>
      <c r="FLP60" s="250"/>
      <c r="FLQ60" s="250"/>
      <c r="FLR60" s="250"/>
      <c r="FLS60" s="250"/>
      <c r="FLT60" s="250"/>
      <c r="FLU60" s="250"/>
      <c r="FLV60" s="250"/>
      <c r="FLW60" s="250"/>
      <c r="FLX60" s="250"/>
      <c r="FLY60" s="250"/>
      <c r="FLZ60" s="250"/>
      <c r="FMA60" s="250"/>
      <c r="FMB60" s="250"/>
      <c r="FMC60" s="250"/>
      <c r="FMD60" s="250"/>
      <c r="FME60" s="250"/>
      <c r="FMF60" s="250"/>
      <c r="FMG60" s="250"/>
      <c r="FMH60" s="250"/>
      <c r="FMI60" s="250"/>
      <c r="FMJ60" s="250"/>
      <c r="FMK60" s="250"/>
      <c r="FML60" s="250"/>
      <c r="FMM60" s="250"/>
      <c r="FMN60" s="250"/>
      <c r="FMO60" s="250"/>
      <c r="FMP60" s="250"/>
      <c r="FMQ60" s="250"/>
      <c r="FMR60" s="250"/>
      <c r="FMS60" s="250"/>
      <c r="FMT60" s="250"/>
      <c r="FMU60" s="250"/>
      <c r="FMV60" s="250"/>
      <c r="FMW60" s="250"/>
      <c r="FMX60" s="250"/>
      <c r="FMY60" s="250"/>
      <c r="FMZ60" s="250"/>
      <c r="FNA60" s="250"/>
      <c r="FNB60" s="250"/>
      <c r="FNC60" s="250"/>
      <c r="FND60" s="250"/>
      <c r="FNE60" s="250"/>
      <c r="FNF60" s="250"/>
      <c r="FNG60" s="250"/>
      <c r="FNH60" s="250"/>
      <c r="FNI60" s="250"/>
      <c r="FNJ60" s="250"/>
      <c r="FNK60" s="250"/>
      <c r="FNL60" s="250"/>
      <c r="FNM60" s="250"/>
      <c r="FNN60" s="250"/>
      <c r="FNO60" s="250"/>
      <c r="FNP60" s="250"/>
      <c r="FNQ60" s="250"/>
      <c r="FNR60" s="250"/>
      <c r="FNS60" s="250"/>
      <c r="FNT60" s="250"/>
      <c r="FNU60" s="250"/>
      <c r="FNV60" s="250"/>
      <c r="FNW60" s="250"/>
      <c r="FNX60" s="250"/>
      <c r="FNY60" s="250"/>
      <c r="FNZ60" s="250"/>
      <c r="FOA60" s="250"/>
      <c r="FOB60" s="250"/>
      <c r="FOC60" s="250"/>
      <c r="FOD60" s="250"/>
      <c r="FOE60" s="250"/>
      <c r="FOF60" s="250"/>
      <c r="FOG60" s="250"/>
      <c r="FOH60" s="250"/>
      <c r="FOI60" s="250"/>
      <c r="FOJ60" s="250"/>
      <c r="FOK60" s="250"/>
      <c r="FOL60" s="250"/>
      <c r="FOM60" s="250"/>
      <c r="FON60" s="250"/>
      <c r="FOO60" s="250"/>
      <c r="FOP60" s="250"/>
      <c r="FOQ60" s="250"/>
      <c r="FOR60" s="250"/>
      <c r="FOS60" s="250"/>
      <c r="FOT60" s="250"/>
      <c r="FOU60" s="250"/>
      <c r="FOV60" s="250"/>
      <c r="FOW60" s="250"/>
      <c r="FOX60" s="250"/>
      <c r="FOY60" s="250"/>
      <c r="FOZ60" s="250"/>
      <c r="FPA60" s="250"/>
      <c r="FPB60" s="250"/>
      <c r="FPC60" s="250"/>
      <c r="FPD60" s="250"/>
      <c r="FPE60" s="250"/>
      <c r="FPF60" s="250"/>
      <c r="FPG60" s="250"/>
      <c r="FPH60" s="250"/>
      <c r="FPI60" s="250"/>
      <c r="FPJ60" s="250"/>
      <c r="FPK60" s="250"/>
      <c r="FPL60" s="250"/>
      <c r="FPM60" s="250"/>
      <c r="FPN60" s="250"/>
      <c r="FPO60" s="250"/>
      <c r="FPP60" s="250"/>
      <c r="FPQ60" s="250"/>
      <c r="FPR60" s="250"/>
      <c r="FPS60" s="250"/>
      <c r="FPT60" s="250"/>
      <c r="FPU60" s="250"/>
      <c r="FPV60" s="250"/>
      <c r="FPW60" s="250"/>
      <c r="FPX60" s="250"/>
      <c r="FPY60" s="250"/>
      <c r="FPZ60" s="250"/>
      <c r="FQA60" s="250"/>
      <c r="FQB60" s="250"/>
      <c r="FQC60" s="250"/>
      <c r="FQD60" s="250"/>
      <c r="FQE60" s="250"/>
      <c r="FQF60" s="250"/>
      <c r="FQG60" s="250"/>
      <c r="FQH60" s="250"/>
      <c r="FQI60" s="250"/>
      <c r="FQJ60" s="250"/>
      <c r="FQK60" s="250"/>
      <c r="FQL60" s="250"/>
      <c r="FQM60" s="250"/>
      <c r="FQN60" s="250"/>
      <c r="FQO60" s="250"/>
      <c r="FQP60" s="250"/>
      <c r="FQQ60" s="250"/>
      <c r="FQR60" s="250"/>
      <c r="FQS60" s="250"/>
      <c r="FQT60" s="250"/>
      <c r="FQU60" s="250"/>
      <c r="FQV60" s="250"/>
      <c r="FQW60" s="250"/>
      <c r="FQX60" s="250"/>
      <c r="FQY60" s="250"/>
      <c r="FQZ60" s="250"/>
      <c r="FRA60" s="250"/>
      <c r="FRB60" s="250"/>
      <c r="FRC60" s="250"/>
      <c r="FRD60" s="250"/>
      <c r="FRE60" s="250"/>
      <c r="FRF60" s="250"/>
      <c r="FRG60" s="250"/>
      <c r="FRH60" s="250"/>
      <c r="FRI60" s="250"/>
      <c r="FRJ60" s="250"/>
      <c r="FRK60" s="250"/>
      <c r="FRL60" s="250"/>
      <c r="FRM60" s="250"/>
      <c r="FRN60" s="250"/>
      <c r="FRO60" s="250"/>
      <c r="FRP60" s="250"/>
      <c r="FRQ60" s="250"/>
      <c r="FRR60" s="250"/>
      <c r="FRS60" s="250"/>
      <c r="FRT60" s="250"/>
      <c r="FRU60" s="250"/>
      <c r="FRV60" s="250"/>
      <c r="FRW60" s="250"/>
      <c r="FRX60" s="250"/>
      <c r="FRY60" s="250"/>
      <c r="FRZ60" s="250"/>
      <c r="FSA60" s="250"/>
      <c r="FSB60" s="250"/>
      <c r="FSC60" s="250"/>
      <c r="FSD60" s="250"/>
      <c r="FSE60" s="250"/>
      <c r="FSF60" s="250"/>
      <c r="FSG60" s="250"/>
      <c r="FSH60" s="250"/>
      <c r="FSI60" s="250"/>
      <c r="FSJ60" s="250"/>
      <c r="FSK60" s="250"/>
      <c r="FSL60" s="250"/>
      <c r="FSM60" s="250"/>
      <c r="FSN60" s="250"/>
      <c r="FSO60" s="250"/>
      <c r="FSP60" s="250"/>
      <c r="FSQ60" s="250"/>
      <c r="FSR60" s="250"/>
      <c r="FSS60" s="250"/>
      <c r="FST60" s="250"/>
      <c r="FSU60" s="250"/>
      <c r="FSV60" s="250"/>
      <c r="FSW60" s="250"/>
      <c r="FSX60" s="250"/>
      <c r="FSY60" s="250"/>
      <c r="FSZ60" s="250"/>
      <c r="FTA60" s="250"/>
      <c r="FTB60" s="250"/>
      <c r="FTC60" s="250"/>
      <c r="FTD60" s="250"/>
      <c r="FTE60" s="250"/>
      <c r="FTF60" s="250"/>
      <c r="FTG60" s="250"/>
      <c r="FTH60" s="250"/>
      <c r="FTI60" s="250"/>
      <c r="FTJ60" s="250"/>
      <c r="FTK60" s="250"/>
      <c r="FTL60" s="250"/>
      <c r="FTM60" s="250"/>
      <c r="FTN60" s="250"/>
      <c r="FTO60" s="250"/>
      <c r="FTP60" s="250"/>
      <c r="FTQ60" s="250"/>
      <c r="FTR60" s="250"/>
      <c r="FTS60" s="250"/>
      <c r="FTT60" s="250"/>
      <c r="FTU60" s="250"/>
      <c r="FTV60" s="250"/>
      <c r="FTW60" s="250"/>
      <c r="FTX60" s="250"/>
      <c r="FTY60" s="250"/>
      <c r="FTZ60" s="250"/>
      <c r="FUA60" s="250"/>
      <c r="FUB60" s="250"/>
      <c r="FUC60" s="250"/>
      <c r="FUD60" s="250"/>
      <c r="FUE60" s="250"/>
      <c r="FUF60" s="250"/>
      <c r="FUG60" s="250"/>
      <c r="FUH60" s="250"/>
      <c r="FUI60" s="250"/>
      <c r="FUJ60" s="250"/>
      <c r="FUK60" s="250"/>
      <c r="FUL60" s="250"/>
      <c r="FUM60" s="250"/>
      <c r="FUN60" s="250"/>
      <c r="FUO60" s="250"/>
      <c r="FUP60" s="250"/>
      <c r="FUQ60" s="250"/>
      <c r="FUR60" s="250"/>
      <c r="FUS60" s="250"/>
      <c r="FUT60" s="250"/>
      <c r="FUU60" s="250"/>
      <c r="FUV60" s="250"/>
      <c r="FUW60" s="250"/>
      <c r="FUX60" s="250"/>
      <c r="FUY60" s="250"/>
      <c r="FUZ60" s="250"/>
      <c r="FVA60" s="250"/>
      <c r="FVB60" s="250"/>
      <c r="FVC60" s="250"/>
      <c r="FVD60" s="250"/>
      <c r="FVE60" s="250"/>
      <c r="FVF60" s="250"/>
      <c r="FVG60" s="250"/>
      <c r="FVH60" s="250"/>
      <c r="FVI60" s="250"/>
      <c r="FVJ60" s="250"/>
      <c r="FVK60" s="250"/>
      <c r="FVL60" s="250"/>
      <c r="FVM60" s="250"/>
      <c r="FVN60" s="250"/>
      <c r="FVO60" s="250"/>
      <c r="FVP60" s="250"/>
      <c r="FVQ60" s="250"/>
      <c r="FVR60" s="250"/>
      <c r="FVS60" s="250"/>
      <c r="FVT60" s="250"/>
      <c r="FVU60" s="250"/>
      <c r="FVV60" s="250"/>
      <c r="FVW60" s="250"/>
      <c r="FVX60" s="250"/>
      <c r="FVY60" s="250"/>
      <c r="FVZ60" s="250"/>
      <c r="FWA60" s="250"/>
      <c r="FWB60" s="250"/>
      <c r="FWC60" s="250"/>
      <c r="FWD60" s="250"/>
      <c r="FWE60" s="250"/>
      <c r="FWF60" s="250"/>
      <c r="FWG60" s="250"/>
      <c r="FWH60" s="250"/>
      <c r="FWI60" s="250"/>
      <c r="FWJ60" s="250"/>
      <c r="FWK60" s="250"/>
      <c r="FWL60" s="250"/>
      <c r="FWM60" s="250"/>
      <c r="FWN60" s="250"/>
      <c r="FWO60" s="250"/>
      <c r="FWP60" s="250"/>
      <c r="FWQ60" s="250"/>
      <c r="FWR60" s="250"/>
      <c r="FWS60" s="250"/>
      <c r="FWT60" s="250"/>
      <c r="FWU60" s="250"/>
      <c r="FWV60" s="250"/>
      <c r="FWW60" s="250"/>
      <c r="FWX60" s="250"/>
      <c r="FWY60" s="250"/>
      <c r="FWZ60" s="250"/>
      <c r="FXA60" s="250"/>
      <c r="FXB60" s="250"/>
      <c r="FXC60" s="250"/>
      <c r="FXD60" s="250"/>
      <c r="FXE60" s="250"/>
      <c r="FXF60" s="250"/>
      <c r="FXG60" s="250"/>
      <c r="FXH60" s="250"/>
      <c r="FXI60" s="250"/>
      <c r="FXJ60" s="250"/>
      <c r="FXK60" s="250"/>
      <c r="FXL60" s="250"/>
      <c r="FXM60" s="250"/>
      <c r="FXN60" s="250"/>
      <c r="FXO60" s="250"/>
      <c r="FXP60" s="250"/>
      <c r="FXQ60" s="250"/>
      <c r="FXR60" s="250"/>
      <c r="FXS60" s="250"/>
      <c r="FXT60" s="250"/>
      <c r="FXU60" s="250"/>
      <c r="FXV60" s="250"/>
      <c r="FXW60" s="250"/>
      <c r="FXX60" s="250"/>
      <c r="FXY60" s="250"/>
      <c r="FXZ60" s="250"/>
      <c r="FYA60" s="250"/>
      <c r="FYB60" s="250"/>
      <c r="FYC60" s="250"/>
      <c r="FYD60" s="250"/>
      <c r="FYE60" s="250"/>
      <c r="FYF60" s="250"/>
      <c r="FYG60" s="250"/>
      <c r="FYH60" s="250"/>
      <c r="FYI60" s="250"/>
      <c r="FYJ60" s="250"/>
      <c r="FYK60" s="250"/>
      <c r="FYL60" s="250"/>
      <c r="FYM60" s="250"/>
      <c r="FYN60" s="250"/>
      <c r="FYO60" s="250"/>
      <c r="FYP60" s="250"/>
      <c r="FYQ60" s="250"/>
      <c r="FYR60" s="250"/>
      <c r="FYS60" s="250"/>
      <c r="FYT60" s="250"/>
      <c r="FYU60" s="250"/>
      <c r="FYV60" s="250"/>
      <c r="FYW60" s="250"/>
      <c r="FYX60" s="250"/>
      <c r="FYY60" s="250"/>
      <c r="FYZ60" s="250"/>
      <c r="FZA60" s="250"/>
      <c r="FZB60" s="250"/>
      <c r="FZC60" s="250"/>
      <c r="FZD60" s="250"/>
      <c r="FZE60" s="250"/>
      <c r="FZF60" s="250"/>
      <c r="FZG60" s="250"/>
      <c r="FZH60" s="250"/>
      <c r="FZI60" s="250"/>
      <c r="FZJ60" s="250"/>
      <c r="FZK60" s="250"/>
      <c r="FZL60" s="250"/>
      <c r="FZM60" s="250"/>
      <c r="FZN60" s="250"/>
      <c r="FZO60" s="250"/>
      <c r="FZP60" s="250"/>
      <c r="FZQ60" s="250"/>
      <c r="FZR60" s="250"/>
      <c r="FZS60" s="250"/>
      <c r="FZT60" s="250"/>
      <c r="FZU60" s="250"/>
      <c r="FZV60" s="250"/>
      <c r="FZW60" s="250"/>
      <c r="FZX60" s="250"/>
      <c r="FZY60" s="250"/>
      <c r="FZZ60" s="250"/>
      <c r="GAA60" s="250"/>
      <c r="GAB60" s="250"/>
      <c r="GAC60" s="250"/>
      <c r="GAD60" s="250"/>
      <c r="GAE60" s="250"/>
      <c r="GAF60" s="250"/>
      <c r="GAG60" s="250"/>
      <c r="GAH60" s="250"/>
      <c r="GAI60" s="250"/>
      <c r="GAJ60" s="250"/>
      <c r="GAK60" s="250"/>
      <c r="GAL60" s="250"/>
      <c r="GAM60" s="250"/>
      <c r="GAN60" s="250"/>
      <c r="GAO60" s="250"/>
      <c r="GAP60" s="250"/>
      <c r="GAQ60" s="250"/>
      <c r="GAR60" s="250"/>
      <c r="GAS60" s="250"/>
      <c r="GAT60" s="250"/>
      <c r="GAU60" s="250"/>
      <c r="GAV60" s="250"/>
      <c r="GAW60" s="250"/>
      <c r="GAX60" s="250"/>
      <c r="GAY60" s="250"/>
      <c r="GAZ60" s="250"/>
      <c r="GBA60" s="250"/>
      <c r="GBB60" s="250"/>
      <c r="GBC60" s="250"/>
      <c r="GBD60" s="250"/>
      <c r="GBE60" s="250"/>
      <c r="GBF60" s="250"/>
      <c r="GBG60" s="250"/>
      <c r="GBH60" s="250"/>
      <c r="GBI60" s="250"/>
      <c r="GBJ60" s="250"/>
      <c r="GBK60" s="250"/>
      <c r="GBL60" s="250"/>
      <c r="GBM60" s="250"/>
      <c r="GBN60" s="250"/>
      <c r="GBO60" s="250"/>
      <c r="GBP60" s="250"/>
      <c r="GBQ60" s="250"/>
      <c r="GBR60" s="250"/>
      <c r="GBS60" s="250"/>
      <c r="GBT60" s="250"/>
      <c r="GBU60" s="250"/>
      <c r="GBV60" s="250"/>
      <c r="GBW60" s="250"/>
      <c r="GBX60" s="250"/>
      <c r="GBY60" s="250"/>
      <c r="GBZ60" s="250"/>
      <c r="GCA60" s="250"/>
      <c r="GCB60" s="250"/>
      <c r="GCC60" s="250"/>
      <c r="GCD60" s="250"/>
      <c r="GCE60" s="250"/>
      <c r="GCF60" s="250"/>
      <c r="GCG60" s="250"/>
      <c r="GCH60" s="250"/>
      <c r="GCI60" s="250"/>
      <c r="GCJ60" s="250"/>
      <c r="GCK60" s="250"/>
      <c r="GCL60" s="250"/>
      <c r="GCM60" s="250"/>
      <c r="GCN60" s="250"/>
      <c r="GCO60" s="250"/>
      <c r="GCP60" s="250"/>
      <c r="GCQ60" s="250"/>
      <c r="GCR60" s="250"/>
      <c r="GCS60" s="250"/>
      <c r="GCT60" s="250"/>
      <c r="GCU60" s="250"/>
      <c r="GCV60" s="250"/>
      <c r="GCW60" s="250"/>
      <c r="GCX60" s="250"/>
      <c r="GCY60" s="250"/>
      <c r="GCZ60" s="250"/>
      <c r="GDA60" s="250"/>
      <c r="GDB60" s="250"/>
      <c r="GDC60" s="250"/>
      <c r="GDD60" s="250"/>
      <c r="GDE60" s="250"/>
      <c r="GDF60" s="250"/>
      <c r="GDG60" s="250"/>
      <c r="GDH60" s="250"/>
      <c r="GDI60" s="250"/>
      <c r="GDJ60" s="250"/>
      <c r="GDK60" s="250"/>
      <c r="GDL60" s="250"/>
      <c r="GDM60" s="250"/>
      <c r="GDN60" s="250"/>
      <c r="GDO60" s="250"/>
      <c r="GDP60" s="250"/>
      <c r="GDQ60" s="250"/>
      <c r="GDR60" s="250"/>
      <c r="GDS60" s="250"/>
      <c r="GDT60" s="250"/>
      <c r="GDU60" s="250"/>
      <c r="GDV60" s="250"/>
      <c r="GDW60" s="250"/>
      <c r="GDX60" s="250"/>
      <c r="GDY60" s="250"/>
      <c r="GDZ60" s="250"/>
      <c r="GEA60" s="250"/>
      <c r="GEB60" s="250"/>
      <c r="GEC60" s="250"/>
      <c r="GED60" s="250"/>
      <c r="GEE60" s="250"/>
      <c r="GEF60" s="250"/>
      <c r="GEG60" s="250"/>
      <c r="GEH60" s="250"/>
      <c r="GEI60" s="250"/>
      <c r="GEJ60" s="250"/>
      <c r="GEK60" s="250"/>
      <c r="GEL60" s="250"/>
      <c r="GEM60" s="250"/>
      <c r="GEN60" s="250"/>
      <c r="GEO60" s="250"/>
      <c r="GEP60" s="250"/>
      <c r="GEQ60" s="250"/>
      <c r="GER60" s="250"/>
      <c r="GES60" s="250"/>
      <c r="GET60" s="250"/>
      <c r="GEU60" s="250"/>
      <c r="GEV60" s="250"/>
      <c r="GEW60" s="250"/>
      <c r="GEX60" s="250"/>
      <c r="GEY60" s="250"/>
      <c r="GEZ60" s="250"/>
      <c r="GFA60" s="250"/>
      <c r="GFB60" s="250"/>
      <c r="GFC60" s="250"/>
      <c r="GFD60" s="250"/>
      <c r="GFE60" s="250"/>
      <c r="GFF60" s="250"/>
      <c r="GFG60" s="250"/>
      <c r="GFH60" s="250"/>
      <c r="GFI60" s="250"/>
      <c r="GFJ60" s="250"/>
      <c r="GFK60" s="250"/>
      <c r="GFL60" s="250"/>
      <c r="GFM60" s="250"/>
      <c r="GFN60" s="250"/>
      <c r="GFO60" s="250"/>
      <c r="GFP60" s="250"/>
      <c r="GFQ60" s="250"/>
      <c r="GFR60" s="250"/>
      <c r="GFS60" s="250"/>
      <c r="GFT60" s="250"/>
      <c r="GFU60" s="250"/>
      <c r="GFV60" s="250"/>
      <c r="GFW60" s="250"/>
      <c r="GFX60" s="250"/>
      <c r="GFY60" s="250"/>
      <c r="GFZ60" s="250"/>
      <c r="GGA60" s="250"/>
      <c r="GGB60" s="250"/>
      <c r="GGC60" s="250"/>
      <c r="GGD60" s="250"/>
      <c r="GGE60" s="250"/>
      <c r="GGF60" s="250"/>
      <c r="GGG60" s="250"/>
      <c r="GGH60" s="250"/>
      <c r="GGI60" s="250"/>
      <c r="GGJ60" s="250"/>
      <c r="GGK60" s="250"/>
      <c r="GGL60" s="250"/>
      <c r="GGM60" s="250"/>
      <c r="GGN60" s="250"/>
      <c r="GGO60" s="250"/>
      <c r="GGP60" s="250"/>
      <c r="GGQ60" s="250"/>
      <c r="GGR60" s="250"/>
      <c r="GGS60" s="250"/>
      <c r="GGT60" s="250"/>
      <c r="GGU60" s="250"/>
      <c r="GGV60" s="250"/>
      <c r="GGW60" s="250"/>
      <c r="GGX60" s="250"/>
      <c r="GGY60" s="250"/>
      <c r="GGZ60" s="250"/>
      <c r="GHA60" s="250"/>
      <c r="GHB60" s="250"/>
      <c r="GHC60" s="250"/>
      <c r="GHD60" s="250"/>
      <c r="GHE60" s="250"/>
      <c r="GHF60" s="250"/>
      <c r="GHG60" s="250"/>
      <c r="GHH60" s="250"/>
      <c r="GHI60" s="250"/>
      <c r="GHJ60" s="250"/>
      <c r="GHK60" s="250"/>
      <c r="GHL60" s="250"/>
      <c r="GHM60" s="250"/>
      <c r="GHN60" s="250"/>
      <c r="GHO60" s="250"/>
      <c r="GHP60" s="250"/>
      <c r="GHQ60" s="250"/>
      <c r="GHR60" s="250"/>
      <c r="GHS60" s="250"/>
      <c r="GHT60" s="250"/>
      <c r="GHU60" s="250"/>
      <c r="GHV60" s="250"/>
      <c r="GHW60" s="250"/>
      <c r="GHX60" s="250"/>
      <c r="GHY60" s="250"/>
      <c r="GHZ60" s="250"/>
      <c r="GIA60" s="250"/>
      <c r="GIB60" s="250"/>
      <c r="GIC60" s="250"/>
      <c r="GID60" s="250"/>
      <c r="GIE60" s="250"/>
      <c r="GIF60" s="250"/>
      <c r="GIG60" s="250"/>
      <c r="GIH60" s="250"/>
      <c r="GII60" s="250"/>
      <c r="GIJ60" s="250"/>
      <c r="GIK60" s="250"/>
      <c r="GIL60" s="250"/>
      <c r="GIM60" s="250"/>
      <c r="GIN60" s="250"/>
      <c r="GIO60" s="250"/>
      <c r="GIP60" s="250"/>
      <c r="GIQ60" s="250"/>
      <c r="GIR60" s="250"/>
      <c r="GIS60" s="250"/>
      <c r="GIT60" s="250"/>
      <c r="GIU60" s="250"/>
      <c r="GIV60" s="250"/>
      <c r="GIW60" s="250"/>
      <c r="GIX60" s="250"/>
      <c r="GIY60" s="250"/>
      <c r="GIZ60" s="250"/>
      <c r="GJA60" s="250"/>
      <c r="GJB60" s="250"/>
      <c r="GJC60" s="250"/>
      <c r="GJD60" s="250"/>
      <c r="GJE60" s="250"/>
      <c r="GJF60" s="250"/>
      <c r="GJG60" s="250"/>
      <c r="GJH60" s="250"/>
      <c r="GJI60" s="250"/>
      <c r="GJJ60" s="250"/>
      <c r="GJK60" s="250"/>
      <c r="GJL60" s="250"/>
      <c r="GJM60" s="250"/>
      <c r="GJN60" s="250"/>
      <c r="GJO60" s="250"/>
      <c r="GJP60" s="250"/>
      <c r="GJQ60" s="250"/>
      <c r="GJR60" s="250"/>
      <c r="GJS60" s="250"/>
      <c r="GJT60" s="250"/>
      <c r="GJU60" s="250"/>
      <c r="GJV60" s="250"/>
      <c r="GJW60" s="250"/>
      <c r="GJX60" s="250"/>
      <c r="GJY60" s="250"/>
      <c r="GJZ60" s="250"/>
      <c r="GKA60" s="250"/>
      <c r="GKB60" s="250"/>
      <c r="GKC60" s="250"/>
      <c r="GKD60" s="250"/>
      <c r="GKE60" s="250"/>
      <c r="GKF60" s="250"/>
      <c r="GKG60" s="250"/>
      <c r="GKH60" s="250"/>
      <c r="GKI60" s="250"/>
      <c r="GKJ60" s="250"/>
      <c r="GKK60" s="250"/>
      <c r="GKL60" s="250"/>
      <c r="GKM60" s="250"/>
      <c r="GKN60" s="250"/>
      <c r="GKO60" s="250"/>
      <c r="GKP60" s="250"/>
      <c r="GKQ60" s="250"/>
      <c r="GKR60" s="250"/>
      <c r="GKS60" s="250"/>
      <c r="GKT60" s="250"/>
      <c r="GKU60" s="250"/>
      <c r="GKV60" s="250"/>
      <c r="GKW60" s="250"/>
      <c r="GKX60" s="250"/>
      <c r="GKY60" s="250"/>
      <c r="GKZ60" s="250"/>
      <c r="GLA60" s="250"/>
      <c r="GLB60" s="250"/>
      <c r="GLC60" s="250"/>
      <c r="GLD60" s="250"/>
      <c r="GLE60" s="250"/>
      <c r="GLF60" s="250"/>
      <c r="GLG60" s="250"/>
      <c r="GLH60" s="250"/>
      <c r="GLI60" s="250"/>
      <c r="GLJ60" s="250"/>
      <c r="GLK60" s="250"/>
      <c r="GLL60" s="250"/>
      <c r="GLM60" s="250"/>
      <c r="GLN60" s="250"/>
      <c r="GLO60" s="250"/>
      <c r="GLP60" s="250"/>
      <c r="GLQ60" s="250"/>
      <c r="GLR60" s="250"/>
      <c r="GLS60" s="250"/>
      <c r="GLT60" s="250"/>
      <c r="GLU60" s="250"/>
      <c r="GLV60" s="250"/>
      <c r="GLW60" s="250"/>
      <c r="GLX60" s="250"/>
      <c r="GLY60" s="250"/>
      <c r="GLZ60" s="250"/>
      <c r="GMA60" s="250"/>
      <c r="GMB60" s="250"/>
      <c r="GMC60" s="250"/>
      <c r="GMD60" s="250"/>
      <c r="GME60" s="250"/>
      <c r="GMF60" s="250"/>
      <c r="GMG60" s="250"/>
      <c r="GMH60" s="250"/>
      <c r="GMI60" s="250"/>
      <c r="GMJ60" s="250"/>
      <c r="GMK60" s="250"/>
      <c r="GML60" s="250"/>
      <c r="GMM60" s="250"/>
      <c r="GMN60" s="250"/>
      <c r="GMO60" s="250"/>
      <c r="GMP60" s="250"/>
      <c r="GMQ60" s="250"/>
      <c r="GMR60" s="250"/>
      <c r="GMS60" s="250"/>
      <c r="GMT60" s="250"/>
      <c r="GMU60" s="250"/>
      <c r="GMV60" s="250"/>
      <c r="GMW60" s="250"/>
      <c r="GMX60" s="250"/>
      <c r="GMY60" s="250"/>
      <c r="GMZ60" s="250"/>
      <c r="GNA60" s="250"/>
      <c r="GNB60" s="250"/>
      <c r="GNC60" s="250"/>
      <c r="GND60" s="250"/>
      <c r="GNE60" s="250"/>
      <c r="GNF60" s="250"/>
      <c r="GNG60" s="250"/>
      <c r="GNH60" s="250"/>
      <c r="GNI60" s="250"/>
      <c r="GNJ60" s="250"/>
      <c r="GNK60" s="250"/>
      <c r="GNL60" s="250"/>
      <c r="GNM60" s="250"/>
      <c r="GNN60" s="250"/>
      <c r="GNO60" s="250"/>
      <c r="GNP60" s="250"/>
      <c r="GNQ60" s="250"/>
      <c r="GNR60" s="250"/>
      <c r="GNS60" s="250"/>
      <c r="GNT60" s="250"/>
      <c r="GNU60" s="250"/>
      <c r="GNV60" s="250"/>
      <c r="GNW60" s="250"/>
      <c r="GNX60" s="250"/>
      <c r="GNY60" s="250"/>
      <c r="GNZ60" s="250"/>
      <c r="GOA60" s="250"/>
      <c r="GOB60" s="250"/>
      <c r="GOC60" s="250"/>
      <c r="GOD60" s="250"/>
      <c r="GOE60" s="250"/>
      <c r="GOF60" s="250"/>
      <c r="GOG60" s="250"/>
      <c r="GOH60" s="250"/>
      <c r="GOI60" s="250"/>
      <c r="GOJ60" s="250"/>
      <c r="GOK60" s="250"/>
      <c r="GOL60" s="250"/>
      <c r="GOM60" s="250"/>
      <c r="GON60" s="250"/>
      <c r="GOO60" s="250"/>
      <c r="GOP60" s="250"/>
      <c r="GOQ60" s="250"/>
      <c r="GOR60" s="250"/>
      <c r="GOS60" s="250"/>
      <c r="GOT60" s="250"/>
      <c r="GOU60" s="250"/>
      <c r="GOV60" s="250"/>
      <c r="GOW60" s="250"/>
      <c r="GOX60" s="250"/>
      <c r="GOY60" s="250"/>
      <c r="GOZ60" s="250"/>
      <c r="GPA60" s="250"/>
      <c r="GPB60" s="250"/>
      <c r="GPC60" s="250"/>
      <c r="GPD60" s="250"/>
      <c r="GPE60" s="250"/>
      <c r="GPF60" s="250"/>
      <c r="GPG60" s="250"/>
      <c r="GPH60" s="250"/>
      <c r="GPI60" s="250"/>
      <c r="GPJ60" s="250"/>
      <c r="GPK60" s="250"/>
      <c r="GPL60" s="250"/>
      <c r="GPM60" s="250"/>
      <c r="GPN60" s="250"/>
      <c r="GPO60" s="250"/>
      <c r="GPP60" s="250"/>
      <c r="GPQ60" s="250"/>
      <c r="GPR60" s="250"/>
      <c r="GPS60" s="250"/>
      <c r="GPT60" s="250"/>
      <c r="GPU60" s="250"/>
      <c r="GPV60" s="250"/>
      <c r="GPW60" s="250"/>
      <c r="GPX60" s="250"/>
      <c r="GPY60" s="250"/>
      <c r="GPZ60" s="250"/>
      <c r="GQA60" s="250"/>
      <c r="GQB60" s="250"/>
      <c r="GQC60" s="250"/>
      <c r="GQD60" s="250"/>
      <c r="GQE60" s="250"/>
      <c r="GQF60" s="250"/>
      <c r="GQG60" s="250"/>
      <c r="GQH60" s="250"/>
      <c r="GQI60" s="250"/>
      <c r="GQJ60" s="250"/>
      <c r="GQK60" s="250"/>
      <c r="GQL60" s="250"/>
      <c r="GQM60" s="250"/>
      <c r="GQN60" s="250"/>
      <c r="GQO60" s="250"/>
      <c r="GQP60" s="250"/>
      <c r="GQQ60" s="250"/>
      <c r="GQR60" s="250"/>
      <c r="GQS60" s="250"/>
      <c r="GQT60" s="250"/>
      <c r="GQU60" s="250"/>
      <c r="GQV60" s="250"/>
      <c r="GQW60" s="250"/>
      <c r="GQX60" s="250"/>
      <c r="GQY60" s="250"/>
      <c r="GQZ60" s="250"/>
      <c r="GRA60" s="250"/>
      <c r="GRB60" s="250"/>
      <c r="GRC60" s="250"/>
      <c r="GRD60" s="250"/>
      <c r="GRE60" s="250"/>
      <c r="GRF60" s="250"/>
      <c r="GRG60" s="250"/>
      <c r="GRH60" s="250"/>
      <c r="GRI60" s="250"/>
      <c r="GRJ60" s="250"/>
      <c r="GRK60" s="250"/>
      <c r="GRL60" s="250"/>
      <c r="GRM60" s="250"/>
      <c r="GRN60" s="250"/>
      <c r="GRO60" s="250"/>
      <c r="GRP60" s="250"/>
      <c r="GRQ60" s="250"/>
      <c r="GRR60" s="250"/>
      <c r="GRS60" s="250"/>
      <c r="GRT60" s="250"/>
      <c r="GRU60" s="250"/>
      <c r="GRV60" s="250"/>
      <c r="GRW60" s="250"/>
      <c r="GRX60" s="250"/>
      <c r="GRY60" s="250"/>
      <c r="GRZ60" s="250"/>
      <c r="GSA60" s="250"/>
      <c r="GSB60" s="250"/>
      <c r="GSC60" s="250"/>
      <c r="GSD60" s="250"/>
      <c r="GSE60" s="250"/>
      <c r="GSF60" s="250"/>
      <c r="GSG60" s="250"/>
      <c r="GSH60" s="250"/>
      <c r="GSI60" s="250"/>
      <c r="GSJ60" s="250"/>
      <c r="GSK60" s="250"/>
      <c r="GSL60" s="250"/>
      <c r="GSM60" s="250"/>
      <c r="GSN60" s="250"/>
      <c r="GSO60" s="250"/>
      <c r="GSP60" s="250"/>
      <c r="GSQ60" s="250"/>
      <c r="GSR60" s="250"/>
      <c r="GSS60" s="250"/>
      <c r="GST60" s="250"/>
      <c r="GSU60" s="250"/>
      <c r="GSV60" s="250"/>
      <c r="GSW60" s="250"/>
      <c r="GSX60" s="250"/>
      <c r="GSY60" s="250"/>
      <c r="GSZ60" s="250"/>
      <c r="GTA60" s="250"/>
      <c r="GTB60" s="250"/>
      <c r="GTC60" s="250"/>
      <c r="GTD60" s="250"/>
      <c r="GTE60" s="250"/>
      <c r="GTF60" s="250"/>
      <c r="GTG60" s="250"/>
      <c r="GTH60" s="250"/>
      <c r="GTI60" s="250"/>
      <c r="GTJ60" s="250"/>
      <c r="GTK60" s="250"/>
      <c r="GTL60" s="250"/>
      <c r="GTM60" s="250"/>
      <c r="GTN60" s="250"/>
      <c r="GTO60" s="250"/>
      <c r="GTP60" s="250"/>
      <c r="GTQ60" s="250"/>
      <c r="GTR60" s="250"/>
      <c r="GTS60" s="250"/>
      <c r="GTT60" s="250"/>
      <c r="GTU60" s="250"/>
      <c r="GTV60" s="250"/>
      <c r="GTW60" s="250"/>
      <c r="GTX60" s="250"/>
      <c r="GTY60" s="250"/>
      <c r="GTZ60" s="250"/>
      <c r="GUA60" s="250"/>
      <c r="GUB60" s="250"/>
      <c r="GUC60" s="250"/>
      <c r="GUD60" s="250"/>
      <c r="GUE60" s="250"/>
      <c r="GUF60" s="250"/>
      <c r="GUG60" s="250"/>
      <c r="GUH60" s="250"/>
      <c r="GUI60" s="250"/>
      <c r="GUJ60" s="250"/>
      <c r="GUK60" s="250"/>
      <c r="GUL60" s="250"/>
      <c r="GUM60" s="250"/>
      <c r="GUN60" s="250"/>
      <c r="GUO60" s="250"/>
      <c r="GUP60" s="250"/>
      <c r="GUQ60" s="250"/>
      <c r="GUR60" s="250"/>
      <c r="GUS60" s="250"/>
      <c r="GUT60" s="250"/>
      <c r="GUU60" s="250"/>
      <c r="GUV60" s="250"/>
      <c r="GUW60" s="250"/>
      <c r="GUX60" s="250"/>
      <c r="GUY60" s="250"/>
      <c r="GUZ60" s="250"/>
      <c r="GVA60" s="250"/>
      <c r="GVB60" s="250"/>
      <c r="GVC60" s="250"/>
      <c r="GVD60" s="250"/>
      <c r="GVE60" s="250"/>
      <c r="GVF60" s="250"/>
      <c r="GVG60" s="250"/>
      <c r="GVH60" s="250"/>
      <c r="GVI60" s="250"/>
      <c r="GVJ60" s="250"/>
      <c r="GVK60" s="250"/>
      <c r="GVL60" s="250"/>
      <c r="GVM60" s="250"/>
      <c r="GVN60" s="250"/>
      <c r="GVO60" s="250"/>
      <c r="GVP60" s="250"/>
      <c r="GVQ60" s="250"/>
      <c r="GVR60" s="250"/>
      <c r="GVS60" s="250"/>
      <c r="GVT60" s="250"/>
      <c r="GVU60" s="250"/>
      <c r="GVV60" s="250"/>
      <c r="GVW60" s="250"/>
      <c r="GVX60" s="250"/>
      <c r="GVY60" s="250"/>
      <c r="GVZ60" s="250"/>
      <c r="GWA60" s="250"/>
      <c r="GWB60" s="250"/>
      <c r="GWC60" s="250"/>
      <c r="GWD60" s="250"/>
      <c r="GWE60" s="250"/>
      <c r="GWF60" s="250"/>
      <c r="GWG60" s="250"/>
      <c r="GWH60" s="250"/>
      <c r="GWI60" s="250"/>
      <c r="GWJ60" s="250"/>
      <c r="GWK60" s="250"/>
      <c r="GWL60" s="250"/>
      <c r="GWM60" s="250"/>
      <c r="GWN60" s="250"/>
      <c r="GWO60" s="250"/>
      <c r="GWP60" s="250"/>
      <c r="GWQ60" s="250"/>
      <c r="GWR60" s="250"/>
      <c r="GWS60" s="250"/>
      <c r="GWT60" s="250"/>
      <c r="GWU60" s="250"/>
      <c r="GWV60" s="250"/>
      <c r="GWW60" s="250"/>
      <c r="GWX60" s="250"/>
      <c r="GWY60" s="250"/>
      <c r="GWZ60" s="250"/>
      <c r="GXA60" s="250"/>
      <c r="GXB60" s="250"/>
      <c r="GXC60" s="250"/>
      <c r="GXD60" s="250"/>
      <c r="GXE60" s="250"/>
      <c r="GXF60" s="250"/>
      <c r="GXG60" s="250"/>
      <c r="GXH60" s="250"/>
      <c r="GXI60" s="250"/>
      <c r="GXJ60" s="250"/>
      <c r="GXK60" s="250"/>
      <c r="GXL60" s="250"/>
      <c r="GXM60" s="250"/>
      <c r="GXN60" s="250"/>
      <c r="GXO60" s="250"/>
      <c r="GXP60" s="250"/>
      <c r="GXQ60" s="250"/>
      <c r="GXR60" s="250"/>
      <c r="GXS60" s="250"/>
      <c r="GXT60" s="250"/>
      <c r="GXU60" s="250"/>
      <c r="GXV60" s="250"/>
      <c r="GXW60" s="250"/>
      <c r="GXX60" s="250"/>
      <c r="GXY60" s="250"/>
      <c r="GXZ60" s="250"/>
      <c r="GYA60" s="250"/>
      <c r="GYB60" s="250"/>
      <c r="GYC60" s="250"/>
      <c r="GYD60" s="250"/>
      <c r="GYE60" s="250"/>
      <c r="GYF60" s="250"/>
      <c r="GYG60" s="250"/>
      <c r="GYH60" s="250"/>
      <c r="GYI60" s="250"/>
      <c r="GYJ60" s="250"/>
      <c r="GYK60" s="250"/>
      <c r="GYL60" s="250"/>
      <c r="GYM60" s="250"/>
      <c r="GYN60" s="250"/>
      <c r="GYO60" s="250"/>
      <c r="GYP60" s="250"/>
      <c r="GYQ60" s="250"/>
      <c r="GYR60" s="250"/>
      <c r="GYS60" s="250"/>
      <c r="GYT60" s="250"/>
      <c r="GYU60" s="250"/>
      <c r="GYV60" s="250"/>
      <c r="GYW60" s="250"/>
      <c r="GYX60" s="250"/>
      <c r="GYY60" s="250"/>
      <c r="GYZ60" s="250"/>
      <c r="GZA60" s="250"/>
      <c r="GZB60" s="250"/>
      <c r="GZC60" s="250"/>
      <c r="GZD60" s="250"/>
      <c r="GZE60" s="250"/>
      <c r="GZF60" s="250"/>
      <c r="GZG60" s="250"/>
      <c r="GZH60" s="250"/>
      <c r="GZI60" s="250"/>
      <c r="GZJ60" s="250"/>
      <c r="GZK60" s="250"/>
      <c r="GZL60" s="250"/>
      <c r="GZM60" s="250"/>
      <c r="GZN60" s="250"/>
      <c r="GZO60" s="250"/>
      <c r="GZP60" s="250"/>
      <c r="GZQ60" s="250"/>
      <c r="GZR60" s="250"/>
      <c r="GZS60" s="250"/>
      <c r="GZT60" s="250"/>
      <c r="GZU60" s="250"/>
      <c r="GZV60" s="250"/>
      <c r="GZW60" s="250"/>
      <c r="GZX60" s="250"/>
      <c r="GZY60" s="250"/>
      <c r="GZZ60" s="250"/>
      <c r="HAA60" s="250"/>
      <c r="HAB60" s="250"/>
      <c r="HAC60" s="250"/>
      <c r="HAD60" s="250"/>
      <c r="HAE60" s="250"/>
      <c r="HAF60" s="250"/>
      <c r="HAG60" s="250"/>
      <c r="HAH60" s="250"/>
      <c r="HAI60" s="250"/>
      <c r="HAJ60" s="250"/>
      <c r="HAK60" s="250"/>
      <c r="HAL60" s="250"/>
      <c r="HAM60" s="250"/>
      <c r="HAN60" s="250"/>
      <c r="HAO60" s="250"/>
      <c r="HAP60" s="250"/>
      <c r="HAQ60" s="250"/>
      <c r="HAR60" s="250"/>
      <c r="HAS60" s="250"/>
      <c r="HAT60" s="250"/>
      <c r="HAU60" s="250"/>
      <c r="HAV60" s="250"/>
      <c r="HAW60" s="250"/>
      <c r="HAX60" s="250"/>
      <c r="HAY60" s="250"/>
      <c r="HAZ60" s="250"/>
      <c r="HBA60" s="250"/>
      <c r="HBB60" s="250"/>
      <c r="HBC60" s="250"/>
      <c r="HBD60" s="250"/>
      <c r="HBE60" s="250"/>
      <c r="HBF60" s="250"/>
      <c r="HBG60" s="250"/>
      <c r="HBH60" s="250"/>
      <c r="HBI60" s="250"/>
      <c r="HBJ60" s="250"/>
      <c r="HBK60" s="250"/>
      <c r="HBL60" s="250"/>
      <c r="HBM60" s="250"/>
      <c r="HBN60" s="250"/>
      <c r="HBO60" s="250"/>
      <c r="HBP60" s="250"/>
      <c r="HBQ60" s="250"/>
      <c r="HBR60" s="250"/>
      <c r="HBS60" s="250"/>
      <c r="HBT60" s="250"/>
      <c r="HBU60" s="250"/>
      <c r="HBV60" s="250"/>
      <c r="HBW60" s="250"/>
      <c r="HBX60" s="250"/>
      <c r="HBY60" s="250"/>
      <c r="HBZ60" s="250"/>
      <c r="HCA60" s="250"/>
      <c r="HCB60" s="250"/>
      <c r="HCC60" s="250"/>
      <c r="HCD60" s="250"/>
      <c r="HCE60" s="250"/>
      <c r="HCF60" s="250"/>
      <c r="HCG60" s="250"/>
      <c r="HCH60" s="250"/>
      <c r="HCI60" s="250"/>
      <c r="HCJ60" s="250"/>
      <c r="HCK60" s="250"/>
      <c r="HCL60" s="250"/>
      <c r="HCM60" s="250"/>
      <c r="HCN60" s="250"/>
      <c r="HCO60" s="250"/>
      <c r="HCP60" s="250"/>
      <c r="HCQ60" s="250"/>
      <c r="HCR60" s="250"/>
      <c r="HCS60" s="250"/>
      <c r="HCT60" s="250"/>
      <c r="HCU60" s="250"/>
      <c r="HCV60" s="250"/>
      <c r="HCW60" s="250"/>
      <c r="HCX60" s="250"/>
      <c r="HCY60" s="250"/>
      <c r="HCZ60" s="250"/>
      <c r="HDA60" s="250"/>
      <c r="HDB60" s="250"/>
      <c r="HDC60" s="250"/>
      <c r="HDD60" s="250"/>
      <c r="HDE60" s="250"/>
      <c r="HDF60" s="250"/>
      <c r="HDG60" s="250"/>
      <c r="HDH60" s="250"/>
      <c r="HDI60" s="250"/>
      <c r="HDJ60" s="250"/>
      <c r="HDK60" s="250"/>
      <c r="HDL60" s="250"/>
      <c r="HDM60" s="250"/>
      <c r="HDN60" s="250"/>
      <c r="HDO60" s="250"/>
      <c r="HDP60" s="250"/>
      <c r="HDQ60" s="250"/>
      <c r="HDR60" s="250"/>
      <c r="HDS60" s="250"/>
      <c r="HDT60" s="250"/>
      <c r="HDU60" s="250"/>
      <c r="HDV60" s="250"/>
      <c r="HDW60" s="250"/>
      <c r="HDX60" s="250"/>
      <c r="HDY60" s="250"/>
      <c r="HDZ60" s="250"/>
      <c r="HEA60" s="250"/>
      <c r="HEB60" s="250"/>
      <c r="HEC60" s="250"/>
      <c r="HED60" s="250"/>
      <c r="HEE60" s="250"/>
      <c r="HEF60" s="250"/>
      <c r="HEG60" s="250"/>
      <c r="HEH60" s="250"/>
      <c r="HEI60" s="250"/>
      <c r="HEJ60" s="250"/>
      <c r="HEK60" s="250"/>
      <c r="HEL60" s="250"/>
      <c r="HEM60" s="250"/>
      <c r="HEN60" s="250"/>
      <c r="HEO60" s="250"/>
      <c r="HEP60" s="250"/>
      <c r="HEQ60" s="250"/>
      <c r="HER60" s="250"/>
      <c r="HES60" s="250"/>
      <c r="HET60" s="250"/>
      <c r="HEU60" s="250"/>
      <c r="HEV60" s="250"/>
      <c r="HEW60" s="250"/>
      <c r="HEX60" s="250"/>
      <c r="HEY60" s="250"/>
      <c r="HEZ60" s="250"/>
      <c r="HFA60" s="250"/>
      <c r="HFB60" s="250"/>
      <c r="HFC60" s="250"/>
      <c r="HFD60" s="250"/>
      <c r="HFE60" s="250"/>
      <c r="HFF60" s="250"/>
      <c r="HFG60" s="250"/>
      <c r="HFH60" s="250"/>
      <c r="HFI60" s="250"/>
      <c r="HFJ60" s="250"/>
      <c r="HFK60" s="250"/>
      <c r="HFL60" s="250"/>
      <c r="HFM60" s="250"/>
      <c r="HFN60" s="250"/>
      <c r="HFO60" s="250"/>
      <c r="HFP60" s="250"/>
      <c r="HFQ60" s="250"/>
      <c r="HFR60" s="250"/>
      <c r="HFS60" s="250"/>
      <c r="HFT60" s="250"/>
      <c r="HFU60" s="250"/>
      <c r="HFV60" s="250"/>
      <c r="HFW60" s="250"/>
      <c r="HFX60" s="250"/>
      <c r="HFY60" s="250"/>
      <c r="HFZ60" s="250"/>
      <c r="HGA60" s="250"/>
      <c r="HGB60" s="250"/>
      <c r="HGC60" s="250"/>
      <c r="HGD60" s="250"/>
      <c r="HGE60" s="250"/>
      <c r="HGF60" s="250"/>
      <c r="HGG60" s="250"/>
      <c r="HGH60" s="250"/>
      <c r="HGI60" s="250"/>
      <c r="HGJ60" s="250"/>
      <c r="HGK60" s="250"/>
      <c r="HGL60" s="250"/>
      <c r="HGM60" s="250"/>
      <c r="HGN60" s="250"/>
      <c r="HGO60" s="250"/>
      <c r="HGP60" s="250"/>
      <c r="HGQ60" s="250"/>
      <c r="HGR60" s="250"/>
      <c r="HGS60" s="250"/>
      <c r="HGT60" s="250"/>
      <c r="HGU60" s="250"/>
      <c r="HGV60" s="250"/>
      <c r="HGW60" s="250"/>
      <c r="HGX60" s="250"/>
      <c r="HGY60" s="250"/>
      <c r="HGZ60" s="250"/>
      <c r="HHA60" s="250"/>
      <c r="HHB60" s="250"/>
      <c r="HHC60" s="250"/>
      <c r="HHD60" s="250"/>
      <c r="HHE60" s="250"/>
      <c r="HHF60" s="250"/>
      <c r="HHG60" s="250"/>
      <c r="HHH60" s="250"/>
      <c r="HHI60" s="250"/>
      <c r="HHJ60" s="250"/>
      <c r="HHK60" s="250"/>
      <c r="HHL60" s="250"/>
      <c r="HHM60" s="250"/>
      <c r="HHN60" s="250"/>
      <c r="HHO60" s="250"/>
      <c r="HHP60" s="250"/>
      <c r="HHQ60" s="250"/>
      <c r="HHR60" s="250"/>
      <c r="HHS60" s="250"/>
      <c r="HHT60" s="250"/>
      <c r="HHU60" s="250"/>
      <c r="HHV60" s="250"/>
      <c r="HHW60" s="250"/>
      <c r="HHX60" s="250"/>
      <c r="HHY60" s="250"/>
      <c r="HHZ60" s="250"/>
      <c r="HIA60" s="250"/>
      <c r="HIB60" s="250"/>
      <c r="HIC60" s="250"/>
      <c r="HID60" s="250"/>
      <c r="HIE60" s="250"/>
      <c r="HIF60" s="250"/>
      <c r="HIG60" s="250"/>
      <c r="HIH60" s="250"/>
      <c r="HII60" s="250"/>
      <c r="HIJ60" s="250"/>
      <c r="HIK60" s="250"/>
      <c r="HIL60" s="250"/>
      <c r="HIM60" s="250"/>
      <c r="HIN60" s="250"/>
      <c r="HIO60" s="250"/>
      <c r="HIP60" s="250"/>
      <c r="HIQ60" s="250"/>
      <c r="HIR60" s="250"/>
      <c r="HIS60" s="250"/>
      <c r="HIT60" s="250"/>
      <c r="HIU60" s="250"/>
      <c r="HIV60" s="250"/>
      <c r="HIW60" s="250"/>
      <c r="HIX60" s="250"/>
      <c r="HIY60" s="250"/>
      <c r="HIZ60" s="250"/>
      <c r="HJA60" s="250"/>
      <c r="HJB60" s="250"/>
      <c r="HJC60" s="250"/>
      <c r="HJD60" s="250"/>
      <c r="HJE60" s="250"/>
      <c r="HJF60" s="250"/>
      <c r="HJG60" s="250"/>
      <c r="HJH60" s="250"/>
      <c r="HJI60" s="250"/>
      <c r="HJJ60" s="250"/>
      <c r="HJK60" s="250"/>
      <c r="HJL60" s="250"/>
      <c r="HJM60" s="250"/>
      <c r="HJN60" s="250"/>
      <c r="HJO60" s="250"/>
      <c r="HJP60" s="250"/>
      <c r="HJQ60" s="250"/>
      <c r="HJR60" s="250"/>
      <c r="HJS60" s="250"/>
      <c r="HJT60" s="250"/>
      <c r="HJU60" s="250"/>
      <c r="HJV60" s="250"/>
      <c r="HJW60" s="250"/>
      <c r="HJX60" s="250"/>
      <c r="HJY60" s="250"/>
      <c r="HJZ60" s="250"/>
      <c r="HKA60" s="250"/>
      <c r="HKB60" s="250"/>
      <c r="HKC60" s="250"/>
      <c r="HKD60" s="250"/>
      <c r="HKE60" s="250"/>
      <c r="HKF60" s="250"/>
      <c r="HKG60" s="250"/>
      <c r="HKH60" s="250"/>
      <c r="HKI60" s="250"/>
      <c r="HKJ60" s="250"/>
      <c r="HKK60" s="250"/>
      <c r="HKL60" s="250"/>
      <c r="HKM60" s="250"/>
      <c r="HKN60" s="250"/>
      <c r="HKO60" s="250"/>
      <c r="HKP60" s="250"/>
      <c r="HKQ60" s="250"/>
      <c r="HKR60" s="250"/>
      <c r="HKS60" s="250"/>
      <c r="HKT60" s="250"/>
      <c r="HKU60" s="250"/>
      <c r="HKV60" s="250"/>
      <c r="HKW60" s="250"/>
      <c r="HKX60" s="250"/>
      <c r="HKY60" s="250"/>
      <c r="HKZ60" s="250"/>
      <c r="HLA60" s="250"/>
      <c r="HLB60" s="250"/>
      <c r="HLC60" s="250"/>
      <c r="HLD60" s="250"/>
      <c r="HLE60" s="250"/>
      <c r="HLF60" s="250"/>
      <c r="HLG60" s="250"/>
      <c r="HLH60" s="250"/>
      <c r="HLI60" s="250"/>
      <c r="HLJ60" s="250"/>
      <c r="HLK60" s="250"/>
      <c r="HLL60" s="250"/>
      <c r="HLM60" s="250"/>
      <c r="HLN60" s="250"/>
      <c r="HLO60" s="250"/>
      <c r="HLP60" s="250"/>
      <c r="HLQ60" s="250"/>
      <c r="HLR60" s="250"/>
      <c r="HLS60" s="250"/>
      <c r="HLT60" s="250"/>
      <c r="HLU60" s="250"/>
      <c r="HLV60" s="250"/>
      <c r="HLW60" s="250"/>
      <c r="HLX60" s="250"/>
      <c r="HLY60" s="250"/>
      <c r="HLZ60" s="250"/>
      <c r="HMA60" s="250"/>
      <c r="HMB60" s="250"/>
      <c r="HMC60" s="250"/>
      <c r="HMD60" s="250"/>
      <c r="HME60" s="250"/>
      <c r="HMF60" s="250"/>
      <c r="HMG60" s="250"/>
      <c r="HMH60" s="250"/>
      <c r="HMI60" s="250"/>
      <c r="HMJ60" s="250"/>
      <c r="HMK60" s="250"/>
      <c r="HML60" s="250"/>
      <c r="HMM60" s="250"/>
      <c r="HMN60" s="250"/>
      <c r="HMO60" s="250"/>
      <c r="HMP60" s="250"/>
      <c r="HMQ60" s="250"/>
      <c r="HMR60" s="250"/>
      <c r="HMS60" s="250"/>
      <c r="HMT60" s="250"/>
      <c r="HMU60" s="250"/>
      <c r="HMV60" s="250"/>
      <c r="HMW60" s="250"/>
      <c r="HMX60" s="250"/>
      <c r="HMY60" s="250"/>
      <c r="HMZ60" s="250"/>
      <c r="HNA60" s="250"/>
      <c r="HNB60" s="250"/>
      <c r="HNC60" s="250"/>
      <c r="HND60" s="250"/>
      <c r="HNE60" s="250"/>
      <c r="HNF60" s="250"/>
      <c r="HNG60" s="250"/>
      <c r="HNH60" s="250"/>
      <c r="HNI60" s="250"/>
      <c r="HNJ60" s="250"/>
      <c r="HNK60" s="250"/>
      <c r="HNL60" s="250"/>
      <c r="HNM60" s="250"/>
      <c r="HNN60" s="250"/>
      <c r="HNO60" s="250"/>
      <c r="HNP60" s="250"/>
      <c r="HNQ60" s="250"/>
      <c r="HNR60" s="250"/>
      <c r="HNS60" s="250"/>
      <c r="HNT60" s="250"/>
      <c r="HNU60" s="250"/>
      <c r="HNV60" s="250"/>
      <c r="HNW60" s="250"/>
      <c r="HNX60" s="250"/>
      <c r="HNY60" s="250"/>
      <c r="HNZ60" s="250"/>
      <c r="HOA60" s="250"/>
      <c r="HOB60" s="250"/>
      <c r="HOC60" s="250"/>
      <c r="HOD60" s="250"/>
      <c r="HOE60" s="250"/>
      <c r="HOF60" s="250"/>
      <c r="HOG60" s="250"/>
      <c r="HOH60" s="250"/>
      <c r="HOI60" s="250"/>
      <c r="HOJ60" s="250"/>
      <c r="HOK60" s="250"/>
      <c r="HOL60" s="250"/>
      <c r="HOM60" s="250"/>
      <c r="HON60" s="250"/>
      <c r="HOO60" s="250"/>
      <c r="HOP60" s="250"/>
      <c r="HOQ60" s="250"/>
      <c r="HOR60" s="250"/>
      <c r="HOS60" s="250"/>
      <c r="HOT60" s="250"/>
      <c r="HOU60" s="250"/>
      <c r="HOV60" s="250"/>
      <c r="HOW60" s="250"/>
      <c r="HOX60" s="250"/>
      <c r="HOY60" s="250"/>
      <c r="HOZ60" s="250"/>
      <c r="HPA60" s="250"/>
      <c r="HPB60" s="250"/>
      <c r="HPC60" s="250"/>
      <c r="HPD60" s="250"/>
      <c r="HPE60" s="250"/>
      <c r="HPF60" s="250"/>
      <c r="HPG60" s="250"/>
      <c r="HPH60" s="250"/>
      <c r="HPI60" s="250"/>
      <c r="HPJ60" s="250"/>
      <c r="HPK60" s="250"/>
      <c r="HPL60" s="250"/>
      <c r="HPM60" s="250"/>
      <c r="HPN60" s="250"/>
      <c r="HPO60" s="250"/>
      <c r="HPP60" s="250"/>
      <c r="HPQ60" s="250"/>
      <c r="HPR60" s="250"/>
      <c r="HPS60" s="250"/>
      <c r="HPT60" s="250"/>
      <c r="HPU60" s="250"/>
      <c r="HPV60" s="250"/>
      <c r="HPW60" s="250"/>
      <c r="HPX60" s="250"/>
      <c r="HPY60" s="250"/>
      <c r="HPZ60" s="250"/>
      <c r="HQA60" s="250"/>
      <c r="HQB60" s="250"/>
      <c r="HQC60" s="250"/>
      <c r="HQD60" s="250"/>
      <c r="HQE60" s="250"/>
      <c r="HQF60" s="250"/>
      <c r="HQG60" s="250"/>
      <c r="HQH60" s="250"/>
      <c r="HQI60" s="250"/>
      <c r="HQJ60" s="250"/>
      <c r="HQK60" s="250"/>
      <c r="HQL60" s="250"/>
      <c r="HQM60" s="250"/>
      <c r="HQN60" s="250"/>
      <c r="HQO60" s="250"/>
      <c r="HQP60" s="250"/>
      <c r="HQQ60" s="250"/>
      <c r="HQR60" s="250"/>
      <c r="HQS60" s="250"/>
      <c r="HQT60" s="250"/>
      <c r="HQU60" s="250"/>
      <c r="HQV60" s="250"/>
      <c r="HQW60" s="250"/>
      <c r="HQX60" s="250"/>
      <c r="HQY60" s="250"/>
      <c r="HQZ60" s="250"/>
      <c r="HRA60" s="250"/>
      <c r="HRB60" s="250"/>
      <c r="HRC60" s="250"/>
      <c r="HRD60" s="250"/>
      <c r="HRE60" s="250"/>
      <c r="HRF60" s="250"/>
      <c r="HRG60" s="250"/>
      <c r="HRH60" s="250"/>
      <c r="HRI60" s="250"/>
      <c r="HRJ60" s="250"/>
      <c r="HRK60" s="250"/>
      <c r="HRL60" s="250"/>
      <c r="HRM60" s="250"/>
      <c r="HRN60" s="250"/>
      <c r="HRO60" s="250"/>
      <c r="HRP60" s="250"/>
      <c r="HRQ60" s="250"/>
      <c r="HRR60" s="250"/>
      <c r="HRS60" s="250"/>
      <c r="HRT60" s="250"/>
      <c r="HRU60" s="250"/>
      <c r="HRV60" s="250"/>
      <c r="HRW60" s="250"/>
      <c r="HRX60" s="250"/>
      <c r="HRY60" s="250"/>
      <c r="HRZ60" s="250"/>
      <c r="HSA60" s="250"/>
      <c r="HSB60" s="250"/>
      <c r="HSC60" s="250"/>
      <c r="HSD60" s="250"/>
      <c r="HSE60" s="250"/>
      <c r="HSF60" s="250"/>
      <c r="HSG60" s="250"/>
      <c r="HSH60" s="250"/>
      <c r="HSI60" s="250"/>
      <c r="HSJ60" s="250"/>
      <c r="HSK60" s="250"/>
      <c r="HSL60" s="250"/>
      <c r="HSM60" s="250"/>
      <c r="HSN60" s="250"/>
      <c r="HSO60" s="250"/>
      <c r="HSP60" s="250"/>
      <c r="HSQ60" s="250"/>
      <c r="HSR60" s="250"/>
      <c r="HSS60" s="250"/>
      <c r="HST60" s="250"/>
      <c r="HSU60" s="250"/>
      <c r="HSV60" s="250"/>
      <c r="HSW60" s="250"/>
      <c r="HSX60" s="250"/>
      <c r="HSY60" s="250"/>
      <c r="HSZ60" s="250"/>
      <c r="HTA60" s="250"/>
      <c r="HTB60" s="250"/>
      <c r="HTC60" s="250"/>
      <c r="HTD60" s="250"/>
      <c r="HTE60" s="250"/>
      <c r="HTF60" s="250"/>
      <c r="HTG60" s="250"/>
      <c r="HTH60" s="250"/>
      <c r="HTI60" s="250"/>
      <c r="HTJ60" s="250"/>
      <c r="HTK60" s="250"/>
      <c r="HTL60" s="250"/>
      <c r="HTM60" s="250"/>
      <c r="HTN60" s="250"/>
      <c r="HTO60" s="250"/>
      <c r="HTP60" s="250"/>
      <c r="HTQ60" s="250"/>
      <c r="HTR60" s="250"/>
      <c r="HTS60" s="250"/>
      <c r="HTT60" s="250"/>
      <c r="HTU60" s="250"/>
      <c r="HTV60" s="250"/>
      <c r="HTW60" s="250"/>
      <c r="HTX60" s="250"/>
      <c r="HTY60" s="250"/>
      <c r="HTZ60" s="250"/>
      <c r="HUA60" s="250"/>
      <c r="HUB60" s="250"/>
      <c r="HUC60" s="250"/>
      <c r="HUD60" s="250"/>
      <c r="HUE60" s="250"/>
      <c r="HUF60" s="250"/>
      <c r="HUG60" s="250"/>
      <c r="HUH60" s="250"/>
      <c r="HUI60" s="250"/>
      <c r="HUJ60" s="250"/>
      <c r="HUK60" s="250"/>
      <c r="HUL60" s="250"/>
      <c r="HUM60" s="250"/>
      <c r="HUN60" s="250"/>
      <c r="HUO60" s="250"/>
      <c r="HUP60" s="250"/>
      <c r="HUQ60" s="250"/>
      <c r="HUR60" s="250"/>
      <c r="HUS60" s="250"/>
      <c r="HUT60" s="250"/>
      <c r="HUU60" s="250"/>
      <c r="HUV60" s="250"/>
      <c r="HUW60" s="250"/>
      <c r="HUX60" s="250"/>
      <c r="HUY60" s="250"/>
      <c r="HUZ60" s="250"/>
      <c r="HVA60" s="250"/>
      <c r="HVB60" s="250"/>
      <c r="HVC60" s="250"/>
      <c r="HVD60" s="250"/>
      <c r="HVE60" s="250"/>
      <c r="HVF60" s="250"/>
      <c r="HVG60" s="250"/>
      <c r="HVH60" s="250"/>
      <c r="HVI60" s="250"/>
      <c r="HVJ60" s="250"/>
      <c r="HVK60" s="250"/>
      <c r="HVL60" s="250"/>
      <c r="HVM60" s="250"/>
      <c r="HVN60" s="250"/>
      <c r="HVO60" s="250"/>
      <c r="HVP60" s="250"/>
      <c r="HVQ60" s="250"/>
      <c r="HVR60" s="250"/>
      <c r="HVS60" s="250"/>
      <c r="HVT60" s="250"/>
      <c r="HVU60" s="250"/>
      <c r="HVV60" s="250"/>
      <c r="HVW60" s="250"/>
      <c r="HVX60" s="250"/>
      <c r="HVY60" s="250"/>
      <c r="HVZ60" s="250"/>
      <c r="HWA60" s="250"/>
      <c r="HWB60" s="250"/>
      <c r="HWC60" s="250"/>
      <c r="HWD60" s="250"/>
      <c r="HWE60" s="250"/>
      <c r="HWF60" s="250"/>
      <c r="HWG60" s="250"/>
      <c r="HWH60" s="250"/>
      <c r="HWI60" s="250"/>
      <c r="HWJ60" s="250"/>
      <c r="HWK60" s="250"/>
      <c r="HWL60" s="250"/>
      <c r="HWM60" s="250"/>
      <c r="HWN60" s="250"/>
      <c r="HWO60" s="250"/>
      <c r="HWP60" s="250"/>
      <c r="HWQ60" s="250"/>
      <c r="HWR60" s="250"/>
      <c r="HWS60" s="250"/>
      <c r="HWT60" s="250"/>
      <c r="HWU60" s="250"/>
      <c r="HWV60" s="250"/>
      <c r="HWW60" s="250"/>
      <c r="HWX60" s="250"/>
      <c r="HWY60" s="250"/>
      <c r="HWZ60" s="250"/>
      <c r="HXA60" s="250"/>
      <c r="HXB60" s="250"/>
      <c r="HXC60" s="250"/>
      <c r="HXD60" s="250"/>
      <c r="HXE60" s="250"/>
      <c r="HXF60" s="250"/>
      <c r="HXG60" s="250"/>
      <c r="HXH60" s="250"/>
      <c r="HXI60" s="250"/>
      <c r="HXJ60" s="250"/>
      <c r="HXK60" s="250"/>
      <c r="HXL60" s="250"/>
      <c r="HXM60" s="250"/>
      <c r="HXN60" s="250"/>
      <c r="HXO60" s="250"/>
      <c r="HXP60" s="250"/>
      <c r="HXQ60" s="250"/>
      <c r="HXR60" s="250"/>
      <c r="HXS60" s="250"/>
      <c r="HXT60" s="250"/>
      <c r="HXU60" s="250"/>
      <c r="HXV60" s="250"/>
      <c r="HXW60" s="250"/>
      <c r="HXX60" s="250"/>
      <c r="HXY60" s="250"/>
      <c r="HXZ60" s="250"/>
      <c r="HYA60" s="250"/>
      <c r="HYB60" s="250"/>
      <c r="HYC60" s="250"/>
      <c r="HYD60" s="250"/>
      <c r="HYE60" s="250"/>
      <c r="HYF60" s="250"/>
      <c r="HYG60" s="250"/>
      <c r="HYH60" s="250"/>
      <c r="HYI60" s="250"/>
      <c r="HYJ60" s="250"/>
      <c r="HYK60" s="250"/>
      <c r="HYL60" s="250"/>
      <c r="HYM60" s="250"/>
      <c r="HYN60" s="250"/>
      <c r="HYO60" s="250"/>
      <c r="HYP60" s="250"/>
      <c r="HYQ60" s="250"/>
      <c r="HYR60" s="250"/>
      <c r="HYS60" s="250"/>
      <c r="HYT60" s="250"/>
      <c r="HYU60" s="250"/>
      <c r="HYV60" s="250"/>
      <c r="HYW60" s="250"/>
      <c r="HYX60" s="250"/>
      <c r="HYY60" s="250"/>
      <c r="HYZ60" s="250"/>
      <c r="HZA60" s="250"/>
      <c r="HZB60" s="250"/>
      <c r="HZC60" s="250"/>
      <c r="HZD60" s="250"/>
      <c r="HZE60" s="250"/>
      <c r="HZF60" s="250"/>
      <c r="HZG60" s="250"/>
      <c r="HZH60" s="250"/>
      <c r="HZI60" s="250"/>
      <c r="HZJ60" s="250"/>
      <c r="HZK60" s="250"/>
      <c r="HZL60" s="250"/>
      <c r="HZM60" s="250"/>
      <c r="HZN60" s="250"/>
      <c r="HZO60" s="250"/>
      <c r="HZP60" s="250"/>
      <c r="HZQ60" s="250"/>
      <c r="HZR60" s="250"/>
      <c r="HZS60" s="250"/>
      <c r="HZT60" s="250"/>
      <c r="HZU60" s="250"/>
      <c r="HZV60" s="250"/>
      <c r="HZW60" s="250"/>
      <c r="HZX60" s="250"/>
      <c r="HZY60" s="250"/>
      <c r="HZZ60" s="250"/>
      <c r="IAA60" s="250"/>
      <c r="IAB60" s="250"/>
      <c r="IAC60" s="250"/>
      <c r="IAD60" s="250"/>
      <c r="IAE60" s="250"/>
      <c r="IAF60" s="250"/>
      <c r="IAG60" s="250"/>
      <c r="IAH60" s="250"/>
      <c r="IAI60" s="250"/>
      <c r="IAJ60" s="250"/>
      <c r="IAK60" s="250"/>
      <c r="IAL60" s="250"/>
      <c r="IAM60" s="250"/>
      <c r="IAN60" s="250"/>
      <c r="IAO60" s="250"/>
      <c r="IAP60" s="250"/>
      <c r="IAQ60" s="250"/>
      <c r="IAR60" s="250"/>
      <c r="IAS60" s="250"/>
      <c r="IAT60" s="250"/>
      <c r="IAU60" s="250"/>
      <c r="IAV60" s="250"/>
      <c r="IAW60" s="250"/>
      <c r="IAX60" s="250"/>
      <c r="IAY60" s="250"/>
      <c r="IAZ60" s="250"/>
      <c r="IBA60" s="250"/>
      <c r="IBB60" s="250"/>
      <c r="IBC60" s="250"/>
      <c r="IBD60" s="250"/>
      <c r="IBE60" s="250"/>
      <c r="IBF60" s="250"/>
      <c r="IBG60" s="250"/>
      <c r="IBH60" s="250"/>
      <c r="IBI60" s="250"/>
      <c r="IBJ60" s="250"/>
      <c r="IBK60" s="250"/>
      <c r="IBL60" s="250"/>
      <c r="IBM60" s="250"/>
      <c r="IBN60" s="250"/>
      <c r="IBO60" s="250"/>
      <c r="IBP60" s="250"/>
      <c r="IBQ60" s="250"/>
      <c r="IBR60" s="250"/>
      <c r="IBS60" s="250"/>
      <c r="IBT60" s="250"/>
      <c r="IBU60" s="250"/>
      <c r="IBV60" s="250"/>
      <c r="IBW60" s="250"/>
      <c r="IBX60" s="250"/>
      <c r="IBY60" s="250"/>
      <c r="IBZ60" s="250"/>
      <c r="ICA60" s="250"/>
      <c r="ICB60" s="250"/>
      <c r="ICC60" s="250"/>
      <c r="ICD60" s="250"/>
      <c r="ICE60" s="250"/>
      <c r="ICF60" s="250"/>
      <c r="ICG60" s="250"/>
      <c r="ICH60" s="250"/>
      <c r="ICI60" s="250"/>
      <c r="ICJ60" s="250"/>
      <c r="ICK60" s="250"/>
      <c r="ICL60" s="250"/>
      <c r="ICM60" s="250"/>
      <c r="ICN60" s="250"/>
      <c r="ICO60" s="250"/>
      <c r="ICP60" s="250"/>
      <c r="ICQ60" s="250"/>
      <c r="ICR60" s="250"/>
      <c r="ICS60" s="250"/>
      <c r="ICT60" s="250"/>
      <c r="ICU60" s="250"/>
      <c r="ICV60" s="250"/>
      <c r="ICW60" s="250"/>
      <c r="ICX60" s="250"/>
      <c r="ICY60" s="250"/>
      <c r="ICZ60" s="250"/>
      <c r="IDA60" s="250"/>
      <c r="IDB60" s="250"/>
      <c r="IDC60" s="250"/>
      <c r="IDD60" s="250"/>
      <c r="IDE60" s="250"/>
      <c r="IDF60" s="250"/>
      <c r="IDG60" s="250"/>
      <c r="IDH60" s="250"/>
      <c r="IDI60" s="250"/>
      <c r="IDJ60" s="250"/>
      <c r="IDK60" s="250"/>
      <c r="IDL60" s="250"/>
      <c r="IDM60" s="250"/>
      <c r="IDN60" s="250"/>
      <c r="IDO60" s="250"/>
      <c r="IDP60" s="250"/>
      <c r="IDQ60" s="250"/>
      <c r="IDR60" s="250"/>
      <c r="IDS60" s="250"/>
      <c r="IDT60" s="250"/>
      <c r="IDU60" s="250"/>
      <c r="IDV60" s="250"/>
      <c r="IDW60" s="250"/>
      <c r="IDX60" s="250"/>
      <c r="IDY60" s="250"/>
      <c r="IDZ60" s="250"/>
      <c r="IEA60" s="250"/>
      <c r="IEB60" s="250"/>
      <c r="IEC60" s="250"/>
      <c r="IED60" s="250"/>
      <c r="IEE60" s="250"/>
      <c r="IEF60" s="250"/>
      <c r="IEG60" s="250"/>
      <c r="IEH60" s="250"/>
      <c r="IEI60" s="250"/>
      <c r="IEJ60" s="250"/>
      <c r="IEK60" s="250"/>
      <c r="IEL60" s="250"/>
      <c r="IEM60" s="250"/>
      <c r="IEN60" s="250"/>
      <c r="IEO60" s="250"/>
      <c r="IEP60" s="250"/>
      <c r="IEQ60" s="250"/>
      <c r="IER60" s="250"/>
      <c r="IES60" s="250"/>
      <c r="IET60" s="250"/>
      <c r="IEU60" s="250"/>
      <c r="IEV60" s="250"/>
      <c r="IEW60" s="250"/>
      <c r="IEX60" s="250"/>
      <c r="IEY60" s="250"/>
      <c r="IEZ60" s="250"/>
      <c r="IFA60" s="250"/>
      <c r="IFB60" s="250"/>
      <c r="IFC60" s="250"/>
      <c r="IFD60" s="250"/>
      <c r="IFE60" s="250"/>
      <c r="IFF60" s="250"/>
      <c r="IFG60" s="250"/>
      <c r="IFH60" s="250"/>
      <c r="IFI60" s="250"/>
      <c r="IFJ60" s="250"/>
      <c r="IFK60" s="250"/>
      <c r="IFL60" s="250"/>
      <c r="IFM60" s="250"/>
      <c r="IFN60" s="250"/>
      <c r="IFO60" s="250"/>
      <c r="IFP60" s="250"/>
      <c r="IFQ60" s="250"/>
      <c r="IFR60" s="250"/>
      <c r="IFS60" s="250"/>
      <c r="IFT60" s="250"/>
      <c r="IFU60" s="250"/>
      <c r="IFV60" s="250"/>
      <c r="IFW60" s="250"/>
      <c r="IFX60" s="250"/>
      <c r="IFY60" s="250"/>
      <c r="IFZ60" s="250"/>
      <c r="IGA60" s="250"/>
      <c r="IGB60" s="250"/>
      <c r="IGC60" s="250"/>
      <c r="IGD60" s="250"/>
      <c r="IGE60" s="250"/>
      <c r="IGF60" s="250"/>
      <c r="IGG60" s="250"/>
      <c r="IGH60" s="250"/>
      <c r="IGI60" s="250"/>
      <c r="IGJ60" s="250"/>
      <c r="IGK60" s="250"/>
      <c r="IGL60" s="250"/>
      <c r="IGM60" s="250"/>
      <c r="IGN60" s="250"/>
      <c r="IGO60" s="250"/>
      <c r="IGP60" s="250"/>
      <c r="IGQ60" s="250"/>
      <c r="IGR60" s="250"/>
      <c r="IGS60" s="250"/>
      <c r="IGT60" s="250"/>
      <c r="IGU60" s="250"/>
      <c r="IGV60" s="250"/>
      <c r="IGW60" s="250"/>
      <c r="IGX60" s="250"/>
      <c r="IGY60" s="250"/>
      <c r="IGZ60" s="250"/>
      <c r="IHA60" s="250"/>
      <c r="IHB60" s="250"/>
      <c r="IHC60" s="250"/>
      <c r="IHD60" s="250"/>
      <c r="IHE60" s="250"/>
      <c r="IHF60" s="250"/>
      <c r="IHG60" s="250"/>
      <c r="IHH60" s="250"/>
      <c r="IHI60" s="250"/>
      <c r="IHJ60" s="250"/>
      <c r="IHK60" s="250"/>
      <c r="IHL60" s="250"/>
      <c r="IHM60" s="250"/>
      <c r="IHN60" s="250"/>
      <c r="IHO60" s="250"/>
      <c r="IHP60" s="250"/>
      <c r="IHQ60" s="250"/>
      <c r="IHR60" s="250"/>
      <c r="IHS60" s="250"/>
      <c r="IHT60" s="250"/>
      <c r="IHU60" s="250"/>
      <c r="IHV60" s="250"/>
      <c r="IHW60" s="250"/>
      <c r="IHX60" s="250"/>
      <c r="IHY60" s="250"/>
      <c r="IHZ60" s="250"/>
      <c r="IIA60" s="250"/>
      <c r="IIB60" s="250"/>
      <c r="IIC60" s="250"/>
      <c r="IID60" s="250"/>
      <c r="IIE60" s="250"/>
      <c r="IIF60" s="250"/>
      <c r="IIG60" s="250"/>
      <c r="IIH60" s="250"/>
      <c r="III60" s="250"/>
      <c r="IIJ60" s="250"/>
      <c r="IIK60" s="250"/>
      <c r="IIL60" s="250"/>
      <c r="IIM60" s="250"/>
      <c r="IIN60" s="250"/>
      <c r="IIO60" s="250"/>
      <c r="IIP60" s="250"/>
      <c r="IIQ60" s="250"/>
      <c r="IIR60" s="250"/>
      <c r="IIS60" s="250"/>
      <c r="IIT60" s="250"/>
      <c r="IIU60" s="250"/>
      <c r="IIV60" s="250"/>
      <c r="IIW60" s="250"/>
      <c r="IIX60" s="250"/>
      <c r="IIY60" s="250"/>
      <c r="IIZ60" s="250"/>
      <c r="IJA60" s="250"/>
      <c r="IJB60" s="250"/>
      <c r="IJC60" s="250"/>
      <c r="IJD60" s="250"/>
      <c r="IJE60" s="250"/>
      <c r="IJF60" s="250"/>
      <c r="IJG60" s="250"/>
      <c r="IJH60" s="250"/>
      <c r="IJI60" s="250"/>
      <c r="IJJ60" s="250"/>
      <c r="IJK60" s="250"/>
      <c r="IJL60" s="250"/>
      <c r="IJM60" s="250"/>
      <c r="IJN60" s="250"/>
      <c r="IJO60" s="250"/>
      <c r="IJP60" s="250"/>
      <c r="IJQ60" s="250"/>
      <c r="IJR60" s="250"/>
      <c r="IJS60" s="250"/>
      <c r="IJT60" s="250"/>
      <c r="IJU60" s="250"/>
      <c r="IJV60" s="250"/>
      <c r="IJW60" s="250"/>
      <c r="IJX60" s="250"/>
      <c r="IJY60" s="250"/>
      <c r="IJZ60" s="250"/>
      <c r="IKA60" s="250"/>
      <c r="IKB60" s="250"/>
      <c r="IKC60" s="250"/>
      <c r="IKD60" s="250"/>
      <c r="IKE60" s="250"/>
      <c r="IKF60" s="250"/>
      <c r="IKG60" s="250"/>
      <c r="IKH60" s="250"/>
      <c r="IKI60" s="250"/>
      <c r="IKJ60" s="250"/>
      <c r="IKK60" s="250"/>
      <c r="IKL60" s="250"/>
      <c r="IKM60" s="250"/>
      <c r="IKN60" s="250"/>
      <c r="IKO60" s="250"/>
      <c r="IKP60" s="250"/>
      <c r="IKQ60" s="250"/>
      <c r="IKR60" s="250"/>
      <c r="IKS60" s="250"/>
      <c r="IKT60" s="250"/>
      <c r="IKU60" s="250"/>
      <c r="IKV60" s="250"/>
      <c r="IKW60" s="250"/>
      <c r="IKX60" s="250"/>
      <c r="IKY60" s="250"/>
      <c r="IKZ60" s="250"/>
      <c r="ILA60" s="250"/>
      <c r="ILB60" s="250"/>
      <c r="ILC60" s="250"/>
      <c r="ILD60" s="250"/>
      <c r="ILE60" s="250"/>
      <c r="ILF60" s="250"/>
      <c r="ILG60" s="250"/>
      <c r="ILH60" s="250"/>
      <c r="ILI60" s="250"/>
      <c r="ILJ60" s="250"/>
      <c r="ILK60" s="250"/>
      <c r="ILL60" s="250"/>
      <c r="ILM60" s="250"/>
      <c r="ILN60" s="250"/>
      <c r="ILO60" s="250"/>
      <c r="ILP60" s="250"/>
      <c r="ILQ60" s="250"/>
      <c r="ILR60" s="250"/>
      <c r="ILS60" s="250"/>
      <c r="ILT60" s="250"/>
      <c r="ILU60" s="250"/>
      <c r="ILV60" s="250"/>
      <c r="ILW60" s="250"/>
      <c r="ILX60" s="250"/>
      <c r="ILY60" s="250"/>
      <c r="ILZ60" s="250"/>
      <c r="IMA60" s="250"/>
      <c r="IMB60" s="250"/>
      <c r="IMC60" s="250"/>
      <c r="IMD60" s="250"/>
      <c r="IME60" s="250"/>
      <c r="IMF60" s="250"/>
      <c r="IMG60" s="250"/>
      <c r="IMH60" s="250"/>
      <c r="IMI60" s="250"/>
      <c r="IMJ60" s="250"/>
      <c r="IMK60" s="250"/>
      <c r="IML60" s="250"/>
      <c r="IMM60" s="250"/>
      <c r="IMN60" s="250"/>
      <c r="IMO60" s="250"/>
      <c r="IMP60" s="250"/>
      <c r="IMQ60" s="250"/>
      <c r="IMR60" s="250"/>
      <c r="IMS60" s="250"/>
      <c r="IMT60" s="250"/>
      <c r="IMU60" s="250"/>
      <c r="IMV60" s="250"/>
      <c r="IMW60" s="250"/>
      <c r="IMX60" s="250"/>
      <c r="IMY60" s="250"/>
      <c r="IMZ60" s="250"/>
      <c r="INA60" s="250"/>
      <c r="INB60" s="250"/>
      <c r="INC60" s="250"/>
      <c r="IND60" s="250"/>
      <c r="INE60" s="250"/>
      <c r="INF60" s="250"/>
      <c r="ING60" s="250"/>
      <c r="INH60" s="250"/>
      <c r="INI60" s="250"/>
      <c r="INJ60" s="250"/>
      <c r="INK60" s="250"/>
      <c r="INL60" s="250"/>
      <c r="INM60" s="250"/>
      <c r="INN60" s="250"/>
      <c r="INO60" s="250"/>
      <c r="INP60" s="250"/>
      <c r="INQ60" s="250"/>
      <c r="INR60" s="250"/>
      <c r="INS60" s="250"/>
      <c r="INT60" s="250"/>
      <c r="INU60" s="250"/>
      <c r="INV60" s="250"/>
      <c r="INW60" s="250"/>
      <c r="INX60" s="250"/>
      <c r="INY60" s="250"/>
      <c r="INZ60" s="250"/>
      <c r="IOA60" s="250"/>
      <c r="IOB60" s="250"/>
      <c r="IOC60" s="250"/>
      <c r="IOD60" s="250"/>
      <c r="IOE60" s="250"/>
      <c r="IOF60" s="250"/>
      <c r="IOG60" s="250"/>
      <c r="IOH60" s="250"/>
      <c r="IOI60" s="250"/>
      <c r="IOJ60" s="250"/>
      <c r="IOK60" s="250"/>
      <c r="IOL60" s="250"/>
      <c r="IOM60" s="250"/>
      <c r="ION60" s="250"/>
      <c r="IOO60" s="250"/>
      <c r="IOP60" s="250"/>
      <c r="IOQ60" s="250"/>
      <c r="IOR60" s="250"/>
      <c r="IOS60" s="250"/>
      <c r="IOT60" s="250"/>
      <c r="IOU60" s="250"/>
      <c r="IOV60" s="250"/>
      <c r="IOW60" s="250"/>
      <c r="IOX60" s="250"/>
      <c r="IOY60" s="250"/>
      <c r="IOZ60" s="250"/>
      <c r="IPA60" s="250"/>
      <c r="IPB60" s="250"/>
      <c r="IPC60" s="250"/>
      <c r="IPD60" s="250"/>
      <c r="IPE60" s="250"/>
      <c r="IPF60" s="250"/>
      <c r="IPG60" s="250"/>
      <c r="IPH60" s="250"/>
      <c r="IPI60" s="250"/>
      <c r="IPJ60" s="250"/>
      <c r="IPK60" s="250"/>
      <c r="IPL60" s="250"/>
      <c r="IPM60" s="250"/>
      <c r="IPN60" s="250"/>
      <c r="IPO60" s="250"/>
      <c r="IPP60" s="250"/>
      <c r="IPQ60" s="250"/>
      <c r="IPR60" s="250"/>
      <c r="IPS60" s="250"/>
      <c r="IPT60" s="250"/>
      <c r="IPU60" s="250"/>
      <c r="IPV60" s="250"/>
      <c r="IPW60" s="250"/>
      <c r="IPX60" s="250"/>
      <c r="IPY60" s="250"/>
      <c r="IPZ60" s="250"/>
      <c r="IQA60" s="250"/>
      <c r="IQB60" s="250"/>
      <c r="IQC60" s="250"/>
      <c r="IQD60" s="250"/>
      <c r="IQE60" s="250"/>
      <c r="IQF60" s="250"/>
      <c r="IQG60" s="250"/>
      <c r="IQH60" s="250"/>
      <c r="IQI60" s="250"/>
      <c r="IQJ60" s="250"/>
      <c r="IQK60" s="250"/>
      <c r="IQL60" s="250"/>
      <c r="IQM60" s="250"/>
      <c r="IQN60" s="250"/>
      <c r="IQO60" s="250"/>
      <c r="IQP60" s="250"/>
      <c r="IQQ60" s="250"/>
      <c r="IQR60" s="250"/>
      <c r="IQS60" s="250"/>
      <c r="IQT60" s="250"/>
      <c r="IQU60" s="250"/>
      <c r="IQV60" s="250"/>
      <c r="IQW60" s="250"/>
      <c r="IQX60" s="250"/>
      <c r="IQY60" s="250"/>
      <c r="IQZ60" s="250"/>
      <c r="IRA60" s="250"/>
      <c r="IRB60" s="250"/>
      <c r="IRC60" s="250"/>
      <c r="IRD60" s="250"/>
      <c r="IRE60" s="250"/>
      <c r="IRF60" s="250"/>
      <c r="IRG60" s="250"/>
      <c r="IRH60" s="250"/>
      <c r="IRI60" s="250"/>
      <c r="IRJ60" s="250"/>
      <c r="IRK60" s="250"/>
      <c r="IRL60" s="250"/>
      <c r="IRM60" s="250"/>
      <c r="IRN60" s="250"/>
      <c r="IRO60" s="250"/>
      <c r="IRP60" s="250"/>
      <c r="IRQ60" s="250"/>
      <c r="IRR60" s="250"/>
      <c r="IRS60" s="250"/>
      <c r="IRT60" s="250"/>
      <c r="IRU60" s="250"/>
      <c r="IRV60" s="250"/>
      <c r="IRW60" s="250"/>
      <c r="IRX60" s="250"/>
      <c r="IRY60" s="250"/>
      <c r="IRZ60" s="250"/>
      <c r="ISA60" s="250"/>
      <c r="ISB60" s="250"/>
      <c r="ISC60" s="250"/>
      <c r="ISD60" s="250"/>
      <c r="ISE60" s="250"/>
      <c r="ISF60" s="250"/>
      <c r="ISG60" s="250"/>
      <c r="ISH60" s="250"/>
      <c r="ISI60" s="250"/>
      <c r="ISJ60" s="250"/>
      <c r="ISK60" s="250"/>
      <c r="ISL60" s="250"/>
      <c r="ISM60" s="250"/>
      <c r="ISN60" s="250"/>
      <c r="ISO60" s="250"/>
      <c r="ISP60" s="250"/>
      <c r="ISQ60" s="250"/>
      <c r="ISR60" s="250"/>
      <c r="ISS60" s="250"/>
      <c r="IST60" s="250"/>
      <c r="ISU60" s="250"/>
      <c r="ISV60" s="250"/>
      <c r="ISW60" s="250"/>
      <c r="ISX60" s="250"/>
      <c r="ISY60" s="250"/>
      <c r="ISZ60" s="250"/>
      <c r="ITA60" s="250"/>
      <c r="ITB60" s="250"/>
      <c r="ITC60" s="250"/>
      <c r="ITD60" s="250"/>
      <c r="ITE60" s="250"/>
      <c r="ITF60" s="250"/>
      <c r="ITG60" s="250"/>
      <c r="ITH60" s="250"/>
      <c r="ITI60" s="250"/>
      <c r="ITJ60" s="250"/>
      <c r="ITK60" s="250"/>
      <c r="ITL60" s="250"/>
      <c r="ITM60" s="250"/>
      <c r="ITN60" s="250"/>
      <c r="ITO60" s="250"/>
      <c r="ITP60" s="250"/>
      <c r="ITQ60" s="250"/>
      <c r="ITR60" s="250"/>
      <c r="ITS60" s="250"/>
      <c r="ITT60" s="250"/>
      <c r="ITU60" s="250"/>
      <c r="ITV60" s="250"/>
      <c r="ITW60" s="250"/>
      <c r="ITX60" s="250"/>
      <c r="ITY60" s="250"/>
      <c r="ITZ60" s="250"/>
      <c r="IUA60" s="250"/>
      <c r="IUB60" s="250"/>
      <c r="IUC60" s="250"/>
      <c r="IUD60" s="250"/>
      <c r="IUE60" s="250"/>
      <c r="IUF60" s="250"/>
      <c r="IUG60" s="250"/>
      <c r="IUH60" s="250"/>
      <c r="IUI60" s="250"/>
      <c r="IUJ60" s="250"/>
      <c r="IUK60" s="250"/>
      <c r="IUL60" s="250"/>
      <c r="IUM60" s="250"/>
      <c r="IUN60" s="250"/>
      <c r="IUO60" s="250"/>
      <c r="IUP60" s="250"/>
      <c r="IUQ60" s="250"/>
      <c r="IUR60" s="250"/>
      <c r="IUS60" s="250"/>
      <c r="IUT60" s="250"/>
      <c r="IUU60" s="250"/>
      <c r="IUV60" s="250"/>
      <c r="IUW60" s="250"/>
      <c r="IUX60" s="250"/>
      <c r="IUY60" s="250"/>
      <c r="IUZ60" s="250"/>
      <c r="IVA60" s="250"/>
      <c r="IVB60" s="250"/>
      <c r="IVC60" s="250"/>
      <c r="IVD60" s="250"/>
      <c r="IVE60" s="250"/>
      <c r="IVF60" s="250"/>
      <c r="IVG60" s="250"/>
      <c r="IVH60" s="250"/>
      <c r="IVI60" s="250"/>
      <c r="IVJ60" s="250"/>
      <c r="IVK60" s="250"/>
      <c r="IVL60" s="250"/>
      <c r="IVM60" s="250"/>
      <c r="IVN60" s="250"/>
      <c r="IVO60" s="250"/>
      <c r="IVP60" s="250"/>
      <c r="IVQ60" s="250"/>
      <c r="IVR60" s="250"/>
      <c r="IVS60" s="250"/>
      <c r="IVT60" s="250"/>
      <c r="IVU60" s="250"/>
      <c r="IVV60" s="250"/>
      <c r="IVW60" s="250"/>
      <c r="IVX60" s="250"/>
      <c r="IVY60" s="250"/>
      <c r="IVZ60" s="250"/>
      <c r="IWA60" s="250"/>
      <c r="IWB60" s="250"/>
      <c r="IWC60" s="250"/>
      <c r="IWD60" s="250"/>
      <c r="IWE60" s="250"/>
      <c r="IWF60" s="250"/>
      <c r="IWG60" s="250"/>
      <c r="IWH60" s="250"/>
      <c r="IWI60" s="250"/>
      <c r="IWJ60" s="250"/>
      <c r="IWK60" s="250"/>
      <c r="IWL60" s="250"/>
      <c r="IWM60" s="250"/>
      <c r="IWN60" s="250"/>
      <c r="IWO60" s="250"/>
      <c r="IWP60" s="250"/>
      <c r="IWQ60" s="250"/>
      <c r="IWR60" s="250"/>
      <c r="IWS60" s="250"/>
      <c r="IWT60" s="250"/>
      <c r="IWU60" s="250"/>
      <c r="IWV60" s="250"/>
      <c r="IWW60" s="250"/>
      <c r="IWX60" s="250"/>
      <c r="IWY60" s="250"/>
      <c r="IWZ60" s="250"/>
      <c r="IXA60" s="250"/>
      <c r="IXB60" s="250"/>
      <c r="IXC60" s="250"/>
      <c r="IXD60" s="250"/>
      <c r="IXE60" s="250"/>
      <c r="IXF60" s="250"/>
      <c r="IXG60" s="250"/>
      <c r="IXH60" s="250"/>
      <c r="IXI60" s="250"/>
      <c r="IXJ60" s="250"/>
      <c r="IXK60" s="250"/>
      <c r="IXL60" s="250"/>
      <c r="IXM60" s="250"/>
      <c r="IXN60" s="250"/>
      <c r="IXO60" s="250"/>
      <c r="IXP60" s="250"/>
      <c r="IXQ60" s="250"/>
      <c r="IXR60" s="250"/>
      <c r="IXS60" s="250"/>
      <c r="IXT60" s="250"/>
      <c r="IXU60" s="250"/>
      <c r="IXV60" s="250"/>
      <c r="IXW60" s="250"/>
      <c r="IXX60" s="250"/>
      <c r="IXY60" s="250"/>
      <c r="IXZ60" s="250"/>
      <c r="IYA60" s="250"/>
      <c r="IYB60" s="250"/>
      <c r="IYC60" s="250"/>
      <c r="IYD60" s="250"/>
      <c r="IYE60" s="250"/>
      <c r="IYF60" s="250"/>
      <c r="IYG60" s="250"/>
      <c r="IYH60" s="250"/>
      <c r="IYI60" s="250"/>
      <c r="IYJ60" s="250"/>
      <c r="IYK60" s="250"/>
      <c r="IYL60" s="250"/>
      <c r="IYM60" s="250"/>
      <c r="IYN60" s="250"/>
      <c r="IYO60" s="250"/>
      <c r="IYP60" s="250"/>
      <c r="IYQ60" s="250"/>
      <c r="IYR60" s="250"/>
      <c r="IYS60" s="250"/>
      <c r="IYT60" s="250"/>
      <c r="IYU60" s="250"/>
      <c r="IYV60" s="250"/>
      <c r="IYW60" s="250"/>
      <c r="IYX60" s="250"/>
      <c r="IYY60" s="250"/>
      <c r="IYZ60" s="250"/>
      <c r="IZA60" s="250"/>
      <c r="IZB60" s="250"/>
      <c r="IZC60" s="250"/>
      <c r="IZD60" s="250"/>
      <c r="IZE60" s="250"/>
      <c r="IZF60" s="250"/>
      <c r="IZG60" s="250"/>
      <c r="IZH60" s="250"/>
      <c r="IZI60" s="250"/>
      <c r="IZJ60" s="250"/>
      <c r="IZK60" s="250"/>
      <c r="IZL60" s="250"/>
      <c r="IZM60" s="250"/>
      <c r="IZN60" s="250"/>
      <c r="IZO60" s="250"/>
      <c r="IZP60" s="250"/>
      <c r="IZQ60" s="250"/>
      <c r="IZR60" s="250"/>
      <c r="IZS60" s="250"/>
      <c r="IZT60" s="250"/>
      <c r="IZU60" s="250"/>
      <c r="IZV60" s="250"/>
      <c r="IZW60" s="250"/>
      <c r="IZX60" s="250"/>
      <c r="IZY60" s="250"/>
      <c r="IZZ60" s="250"/>
      <c r="JAA60" s="250"/>
      <c r="JAB60" s="250"/>
      <c r="JAC60" s="250"/>
      <c r="JAD60" s="250"/>
      <c r="JAE60" s="250"/>
      <c r="JAF60" s="250"/>
      <c r="JAG60" s="250"/>
      <c r="JAH60" s="250"/>
      <c r="JAI60" s="250"/>
      <c r="JAJ60" s="250"/>
      <c r="JAK60" s="250"/>
      <c r="JAL60" s="250"/>
      <c r="JAM60" s="250"/>
      <c r="JAN60" s="250"/>
      <c r="JAO60" s="250"/>
      <c r="JAP60" s="250"/>
      <c r="JAQ60" s="250"/>
      <c r="JAR60" s="250"/>
      <c r="JAS60" s="250"/>
      <c r="JAT60" s="250"/>
      <c r="JAU60" s="250"/>
      <c r="JAV60" s="250"/>
      <c r="JAW60" s="250"/>
      <c r="JAX60" s="250"/>
      <c r="JAY60" s="250"/>
      <c r="JAZ60" s="250"/>
      <c r="JBA60" s="250"/>
      <c r="JBB60" s="250"/>
      <c r="JBC60" s="250"/>
      <c r="JBD60" s="250"/>
      <c r="JBE60" s="250"/>
      <c r="JBF60" s="250"/>
      <c r="JBG60" s="250"/>
      <c r="JBH60" s="250"/>
      <c r="JBI60" s="250"/>
      <c r="JBJ60" s="250"/>
      <c r="JBK60" s="250"/>
      <c r="JBL60" s="250"/>
      <c r="JBM60" s="250"/>
      <c r="JBN60" s="250"/>
      <c r="JBO60" s="250"/>
      <c r="JBP60" s="250"/>
      <c r="JBQ60" s="250"/>
      <c r="JBR60" s="250"/>
      <c r="JBS60" s="250"/>
      <c r="JBT60" s="250"/>
      <c r="JBU60" s="250"/>
      <c r="JBV60" s="250"/>
      <c r="JBW60" s="250"/>
      <c r="JBX60" s="250"/>
      <c r="JBY60" s="250"/>
      <c r="JBZ60" s="250"/>
      <c r="JCA60" s="250"/>
      <c r="JCB60" s="250"/>
      <c r="JCC60" s="250"/>
      <c r="JCD60" s="250"/>
      <c r="JCE60" s="250"/>
      <c r="JCF60" s="250"/>
      <c r="JCG60" s="250"/>
      <c r="JCH60" s="250"/>
      <c r="JCI60" s="250"/>
      <c r="JCJ60" s="250"/>
      <c r="JCK60" s="250"/>
      <c r="JCL60" s="250"/>
      <c r="JCM60" s="250"/>
      <c r="JCN60" s="250"/>
      <c r="JCO60" s="250"/>
      <c r="JCP60" s="250"/>
      <c r="JCQ60" s="250"/>
      <c r="JCR60" s="250"/>
      <c r="JCS60" s="250"/>
      <c r="JCT60" s="250"/>
      <c r="JCU60" s="250"/>
      <c r="JCV60" s="250"/>
      <c r="JCW60" s="250"/>
      <c r="JCX60" s="250"/>
      <c r="JCY60" s="250"/>
      <c r="JCZ60" s="250"/>
      <c r="JDA60" s="250"/>
      <c r="JDB60" s="250"/>
      <c r="JDC60" s="250"/>
      <c r="JDD60" s="250"/>
      <c r="JDE60" s="250"/>
      <c r="JDF60" s="250"/>
      <c r="JDG60" s="250"/>
      <c r="JDH60" s="250"/>
      <c r="JDI60" s="250"/>
      <c r="JDJ60" s="250"/>
      <c r="JDK60" s="250"/>
      <c r="JDL60" s="250"/>
      <c r="JDM60" s="250"/>
      <c r="JDN60" s="250"/>
      <c r="JDO60" s="250"/>
      <c r="JDP60" s="250"/>
      <c r="JDQ60" s="250"/>
      <c r="JDR60" s="250"/>
      <c r="JDS60" s="250"/>
      <c r="JDT60" s="250"/>
      <c r="JDU60" s="250"/>
      <c r="JDV60" s="250"/>
      <c r="JDW60" s="250"/>
      <c r="JDX60" s="250"/>
      <c r="JDY60" s="250"/>
      <c r="JDZ60" s="250"/>
      <c r="JEA60" s="250"/>
      <c r="JEB60" s="250"/>
      <c r="JEC60" s="250"/>
      <c r="JED60" s="250"/>
      <c r="JEE60" s="250"/>
      <c r="JEF60" s="250"/>
      <c r="JEG60" s="250"/>
      <c r="JEH60" s="250"/>
      <c r="JEI60" s="250"/>
      <c r="JEJ60" s="250"/>
      <c r="JEK60" s="250"/>
      <c r="JEL60" s="250"/>
      <c r="JEM60" s="250"/>
      <c r="JEN60" s="250"/>
      <c r="JEO60" s="250"/>
      <c r="JEP60" s="250"/>
      <c r="JEQ60" s="250"/>
      <c r="JER60" s="250"/>
      <c r="JES60" s="250"/>
      <c r="JET60" s="250"/>
      <c r="JEU60" s="250"/>
      <c r="JEV60" s="250"/>
      <c r="JEW60" s="250"/>
      <c r="JEX60" s="250"/>
      <c r="JEY60" s="250"/>
      <c r="JEZ60" s="250"/>
      <c r="JFA60" s="250"/>
      <c r="JFB60" s="250"/>
      <c r="JFC60" s="250"/>
      <c r="JFD60" s="250"/>
      <c r="JFE60" s="250"/>
      <c r="JFF60" s="250"/>
      <c r="JFG60" s="250"/>
      <c r="JFH60" s="250"/>
      <c r="JFI60" s="250"/>
      <c r="JFJ60" s="250"/>
      <c r="JFK60" s="250"/>
      <c r="JFL60" s="250"/>
      <c r="JFM60" s="250"/>
      <c r="JFN60" s="250"/>
      <c r="JFO60" s="250"/>
      <c r="JFP60" s="250"/>
      <c r="JFQ60" s="250"/>
      <c r="JFR60" s="250"/>
      <c r="JFS60" s="250"/>
      <c r="JFT60" s="250"/>
      <c r="JFU60" s="250"/>
      <c r="JFV60" s="250"/>
      <c r="JFW60" s="250"/>
      <c r="JFX60" s="250"/>
      <c r="JFY60" s="250"/>
      <c r="JFZ60" s="250"/>
      <c r="JGA60" s="250"/>
      <c r="JGB60" s="250"/>
      <c r="JGC60" s="250"/>
      <c r="JGD60" s="250"/>
      <c r="JGE60" s="250"/>
      <c r="JGF60" s="250"/>
      <c r="JGG60" s="250"/>
      <c r="JGH60" s="250"/>
      <c r="JGI60" s="250"/>
      <c r="JGJ60" s="250"/>
      <c r="JGK60" s="250"/>
      <c r="JGL60" s="250"/>
      <c r="JGM60" s="250"/>
      <c r="JGN60" s="250"/>
      <c r="JGO60" s="250"/>
      <c r="JGP60" s="250"/>
      <c r="JGQ60" s="250"/>
      <c r="JGR60" s="250"/>
      <c r="JGS60" s="250"/>
      <c r="JGT60" s="250"/>
      <c r="JGU60" s="250"/>
      <c r="JGV60" s="250"/>
      <c r="JGW60" s="250"/>
      <c r="JGX60" s="250"/>
      <c r="JGY60" s="250"/>
      <c r="JGZ60" s="250"/>
      <c r="JHA60" s="250"/>
      <c r="JHB60" s="250"/>
      <c r="JHC60" s="250"/>
      <c r="JHD60" s="250"/>
      <c r="JHE60" s="250"/>
      <c r="JHF60" s="250"/>
      <c r="JHG60" s="250"/>
      <c r="JHH60" s="250"/>
      <c r="JHI60" s="250"/>
      <c r="JHJ60" s="250"/>
      <c r="JHK60" s="250"/>
      <c r="JHL60" s="250"/>
      <c r="JHM60" s="250"/>
      <c r="JHN60" s="250"/>
      <c r="JHO60" s="250"/>
      <c r="JHP60" s="250"/>
      <c r="JHQ60" s="250"/>
      <c r="JHR60" s="250"/>
      <c r="JHS60" s="250"/>
      <c r="JHT60" s="250"/>
      <c r="JHU60" s="250"/>
      <c r="JHV60" s="250"/>
      <c r="JHW60" s="250"/>
      <c r="JHX60" s="250"/>
      <c r="JHY60" s="250"/>
      <c r="JHZ60" s="250"/>
      <c r="JIA60" s="250"/>
      <c r="JIB60" s="250"/>
      <c r="JIC60" s="250"/>
      <c r="JID60" s="250"/>
      <c r="JIE60" s="250"/>
      <c r="JIF60" s="250"/>
      <c r="JIG60" s="250"/>
      <c r="JIH60" s="250"/>
      <c r="JII60" s="250"/>
      <c r="JIJ60" s="250"/>
      <c r="JIK60" s="250"/>
      <c r="JIL60" s="250"/>
      <c r="JIM60" s="250"/>
      <c r="JIN60" s="250"/>
      <c r="JIO60" s="250"/>
      <c r="JIP60" s="250"/>
      <c r="JIQ60" s="250"/>
      <c r="JIR60" s="250"/>
      <c r="JIS60" s="250"/>
      <c r="JIT60" s="250"/>
      <c r="JIU60" s="250"/>
      <c r="JIV60" s="250"/>
      <c r="JIW60" s="250"/>
      <c r="JIX60" s="250"/>
      <c r="JIY60" s="250"/>
      <c r="JIZ60" s="250"/>
      <c r="JJA60" s="250"/>
      <c r="JJB60" s="250"/>
      <c r="JJC60" s="250"/>
      <c r="JJD60" s="250"/>
      <c r="JJE60" s="250"/>
      <c r="JJF60" s="250"/>
      <c r="JJG60" s="250"/>
      <c r="JJH60" s="250"/>
      <c r="JJI60" s="250"/>
      <c r="JJJ60" s="250"/>
      <c r="JJK60" s="250"/>
      <c r="JJL60" s="250"/>
      <c r="JJM60" s="250"/>
      <c r="JJN60" s="250"/>
      <c r="JJO60" s="250"/>
      <c r="JJP60" s="250"/>
      <c r="JJQ60" s="250"/>
      <c r="JJR60" s="250"/>
      <c r="JJS60" s="250"/>
      <c r="JJT60" s="250"/>
      <c r="JJU60" s="250"/>
      <c r="JJV60" s="250"/>
      <c r="JJW60" s="250"/>
      <c r="JJX60" s="250"/>
      <c r="JJY60" s="250"/>
      <c r="JJZ60" s="250"/>
      <c r="JKA60" s="250"/>
      <c r="JKB60" s="250"/>
      <c r="JKC60" s="250"/>
      <c r="JKD60" s="250"/>
      <c r="JKE60" s="250"/>
      <c r="JKF60" s="250"/>
      <c r="JKG60" s="250"/>
      <c r="JKH60" s="250"/>
      <c r="JKI60" s="250"/>
      <c r="JKJ60" s="250"/>
      <c r="JKK60" s="250"/>
      <c r="JKL60" s="250"/>
      <c r="JKM60" s="250"/>
      <c r="JKN60" s="250"/>
      <c r="JKO60" s="250"/>
      <c r="JKP60" s="250"/>
      <c r="JKQ60" s="250"/>
      <c r="JKR60" s="250"/>
      <c r="JKS60" s="250"/>
      <c r="JKT60" s="250"/>
      <c r="JKU60" s="250"/>
      <c r="JKV60" s="250"/>
      <c r="JKW60" s="250"/>
      <c r="JKX60" s="250"/>
      <c r="JKY60" s="250"/>
      <c r="JKZ60" s="250"/>
      <c r="JLA60" s="250"/>
      <c r="JLB60" s="250"/>
      <c r="JLC60" s="250"/>
      <c r="JLD60" s="250"/>
      <c r="JLE60" s="250"/>
      <c r="JLF60" s="250"/>
      <c r="JLG60" s="250"/>
      <c r="JLH60" s="250"/>
      <c r="JLI60" s="250"/>
      <c r="JLJ60" s="250"/>
      <c r="JLK60" s="250"/>
      <c r="JLL60" s="250"/>
      <c r="JLM60" s="250"/>
      <c r="JLN60" s="250"/>
      <c r="JLO60" s="250"/>
      <c r="JLP60" s="250"/>
      <c r="JLQ60" s="250"/>
      <c r="JLR60" s="250"/>
      <c r="JLS60" s="250"/>
      <c r="JLT60" s="250"/>
      <c r="JLU60" s="250"/>
      <c r="JLV60" s="250"/>
      <c r="JLW60" s="250"/>
      <c r="JLX60" s="250"/>
      <c r="JLY60" s="250"/>
      <c r="JLZ60" s="250"/>
      <c r="JMA60" s="250"/>
      <c r="JMB60" s="250"/>
      <c r="JMC60" s="250"/>
      <c r="JMD60" s="250"/>
      <c r="JME60" s="250"/>
      <c r="JMF60" s="250"/>
      <c r="JMG60" s="250"/>
      <c r="JMH60" s="250"/>
      <c r="JMI60" s="250"/>
      <c r="JMJ60" s="250"/>
      <c r="JMK60" s="250"/>
      <c r="JML60" s="250"/>
      <c r="JMM60" s="250"/>
      <c r="JMN60" s="250"/>
      <c r="JMO60" s="250"/>
      <c r="JMP60" s="250"/>
      <c r="JMQ60" s="250"/>
      <c r="JMR60" s="250"/>
      <c r="JMS60" s="250"/>
      <c r="JMT60" s="250"/>
      <c r="JMU60" s="250"/>
      <c r="JMV60" s="250"/>
      <c r="JMW60" s="250"/>
      <c r="JMX60" s="250"/>
      <c r="JMY60" s="250"/>
      <c r="JMZ60" s="250"/>
      <c r="JNA60" s="250"/>
      <c r="JNB60" s="250"/>
      <c r="JNC60" s="250"/>
      <c r="JND60" s="250"/>
      <c r="JNE60" s="250"/>
      <c r="JNF60" s="250"/>
      <c r="JNG60" s="250"/>
      <c r="JNH60" s="250"/>
      <c r="JNI60" s="250"/>
      <c r="JNJ60" s="250"/>
      <c r="JNK60" s="250"/>
      <c r="JNL60" s="250"/>
      <c r="JNM60" s="250"/>
      <c r="JNN60" s="250"/>
      <c r="JNO60" s="250"/>
      <c r="JNP60" s="250"/>
      <c r="JNQ60" s="250"/>
      <c r="JNR60" s="250"/>
      <c r="JNS60" s="250"/>
      <c r="JNT60" s="250"/>
      <c r="JNU60" s="250"/>
      <c r="JNV60" s="250"/>
      <c r="JNW60" s="250"/>
      <c r="JNX60" s="250"/>
      <c r="JNY60" s="250"/>
      <c r="JNZ60" s="250"/>
      <c r="JOA60" s="250"/>
      <c r="JOB60" s="250"/>
      <c r="JOC60" s="250"/>
      <c r="JOD60" s="250"/>
      <c r="JOE60" s="250"/>
      <c r="JOF60" s="250"/>
      <c r="JOG60" s="250"/>
      <c r="JOH60" s="250"/>
      <c r="JOI60" s="250"/>
      <c r="JOJ60" s="250"/>
      <c r="JOK60" s="250"/>
      <c r="JOL60" s="250"/>
      <c r="JOM60" s="250"/>
      <c r="JON60" s="250"/>
      <c r="JOO60" s="250"/>
      <c r="JOP60" s="250"/>
      <c r="JOQ60" s="250"/>
      <c r="JOR60" s="250"/>
      <c r="JOS60" s="250"/>
      <c r="JOT60" s="250"/>
      <c r="JOU60" s="250"/>
      <c r="JOV60" s="250"/>
      <c r="JOW60" s="250"/>
      <c r="JOX60" s="250"/>
      <c r="JOY60" s="250"/>
      <c r="JOZ60" s="250"/>
      <c r="JPA60" s="250"/>
      <c r="JPB60" s="250"/>
      <c r="JPC60" s="250"/>
      <c r="JPD60" s="250"/>
      <c r="JPE60" s="250"/>
      <c r="JPF60" s="250"/>
      <c r="JPG60" s="250"/>
      <c r="JPH60" s="250"/>
      <c r="JPI60" s="250"/>
      <c r="JPJ60" s="250"/>
      <c r="JPK60" s="250"/>
      <c r="JPL60" s="250"/>
      <c r="JPM60" s="250"/>
      <c r="JPN60" s="250"/>
      <c r="JPO60" s="250"/>
      <c r="JPP60" s="250"/>
      <c r="JPQ60" s="250"/>
      <c r="JPR60" s="250"/>
      <c r="JPS60" s="250"/>
      <c r="JPT60" s="250"/>
      <c r="JPU60" s="250"/>
      <c r="JPV60" s="250"/>
      <c r="JPW60" s="250"/>
      <c r="JPX60" s="250"/>
      <c r="JPY60" s="250"/>
      <c r="JPZ60" s="250"/>
      <c r="JQA60" s="250"/>
      <c r="JQB60" s="250"/>
      <c r="JQC60" s="250"/>
      <c r="JQD60" s="250"/>
      <c r="JQE60" s="250"/>
      <c r="JQF60" s="250"/>
      <c r="JQG60" s="250"/>
      <c r="JQH60" s="250"/>
      <c r="JQI60" s="250"/>
      <c r="JQJ60" s="250"/>
      <c r="JQK60" s="250"/>
      <c r="JQL60" s="250"/>
      <c r="JQM60" s="250"/>
      <c r="JQN60" s="250"/>
      <c r="JQO60" s="250"/>
      <c r="JQP60" s="250"/>
      <c r="JQQ60" s="250"/>
      <c r="JQR60" s="250"/>
      <c r="JQS60" s="250"/>
      <c r="JQT60" s="250"/>
      <c r="JQU60" s="250"/>
      <c r="JQV60" s="250"/>
      <c r="JQW60" s="250"/>
      <c r="JQX60" s="250"/>
      <c r="JQY60" s="250"/>
      <c r="JQZ60" s="250"/>
      <c r="JRA60" s="250"/>
      <c r="JRB60" s="250"/>
      <c r="JRC60" s="250"/>
      <c r="JRD60" s="250"/>
      <c r="JRE60" s="250"/>
      <c r="JRF60" s="250"/>
      <c r="JRG60" s="250"/>
      <c r="JRH60" s="250"/>
      <c r="JRI60" s="250"/>
      <c r="JRJ60" s="250"/>
      <c r="JRK60" s="250"/>
      <c r="JRL60" s="250"/>
      <c r="JRM60" s="250"/>
      <c r="JRN60" s="250"/>
      <c r="JRO60" s="250"/>
      <c r="JRP60" s="250"/>
      <c r="JRQ60" s="250"/>
      <c r="JRR60" s="250"/>
      <c r="JRS60" s="250"/>
      <c r="JRT60" s="250"/>
      <c r="JRU60" s="250"/>
      <c r="JRV60" s="250"/>
      <c r="JRW60" s="250"/>
      <c r="JRX60" s="250"/>
      <c r="JRY60" s="250"/>
      <c r="JRZ60" s="250"/>
      <c r="JSA60" s="250"/>
      <c r="JSB60" s="250"/>
      <c r="JSC60" s="250"/>
      <c r="JSD60" s="250"/>
      <c r="JSE60" s="250"/>
      <c r="JSF60" s="250"/>
      <c r="JSG60" s="250"/>
      <c r="JSH60" s="250"/>
      <c r="JSI60" s="250"/>
      <c r="JSJ60" s="250"/>
      <c r="JSK60" s="250"/>
      <c r="JSL60" s="250"/>
      <c r="JSM60" s="250"/>
      <c r="JSN60" s="250"/>
      <c r="JSO60" s="250"/>
      <c r="JSP60" s="250"/>
      <c r="JSQ60" s="250"/>
      <c r="JSR60" s="250"/>
      <c r="JSS60" s="250"/>
      <c r="JST60" s="250"/>
      <c r="JSU60" s="250"/>
      <c r="JSV60" s="250"/>
      <c r="JSW60" s="250"/>
      <c r="JSX60" s="250"/>
      <c r="JSY60" s="250"/>
      <c r="JSZ60" s="250"/>
      <c r="JTA60" s="250"/>
      <c r="JTB60" s="250"/>
      <c r="JTC60" s="250"/>
      <c r="JTD60" s="250"/>
      <c r="JTE60" s="250"/>
      <c r="JTF60" s="250"/>
      <c r="JTG60" s="250"/>
      <c r="JTH60" s="250"/>
      <c r="JTI60" s="250"/>
      <c r="JTJ60" s="250"/>
      <c r="JTK60" s="250"/>
      <c r="JTL60" s="250"/>
      <c r="JTM60" s="250"/>
      <c r="JTN60" s="250"/>
      <c r="JTO60" s="250"/>
      <c r="JTP60" s="250"/>
      <c r="JTQ60" s="250"/>
      <c r="JTR60" s="250"/>
      <c r="JTS60" s="250"/>
      <c r="JTT60" s="250"/>
      <c r="JTU60" s="250"/>
      <c r="JTV60" s="250"/>
      <c r="JTW60" s="250"/>
      <c r="JTX60" s="250"/>
      <c r="JTY60" s="250"/>
      <c r="JTZ60" s="250"/>
      <c r="JUA60" s="250"/>
      <c r="JUB60" s="250"/>
      <c r="JUC60" s="250"/>
      <c r="JUD60" s="250"/>
      <c r="JUE60" s="250"/>
      <c r="JUF60" s="250"/>
      <c r="JUG60" s="250"/>
      <c r="JUH60" s="250"/>
      <c r="JUI60" s="250"/>
      <c r="JUJ60" s="250"/>
      <c r="JUK60" s="250"/>
      <c r="JUL60" s="250"/>
      <c r="JUM60" s="250"/>
      <c r="JUN60" s="250"/>
      <c r="JUO60" s="250"/>
      <c r="JUP60" s="250"/>
      <c r="JUQ60" s="250"/>
      <c r="JUR60" s="250"/>
      <c r="JUS60" s="250"/>
      <c r="JUT60" s="250"/>
      <c r="JUU60" s="250"/>
      <c r="JUV60" s="250"/>
      <c r="JUW60" s="250"/>
      <c r="JUX60" s="250"/>
      <c r="JUY60" s="250"/>
      <c r="JUZ60" s="250"/>
      <c r="JVA60" s="250"/>
      <c r="JVB60" s="250"/>
      <c r="JVC60" s="250"/>
      <c r="JVD60" s="250"/>
      <c r="JVE60" s="250"/>
      <c r="JVF60" s="250"/>
      <c r="JVG60" s="250"/>
      <c r="JVH60" s="250"/>
      <c r="JVI60" s="250"/>
      <c r="JVJ60" s="250"/>
      <c r="JVK60" s="250"/>
      <c r="JVL60" s="250"/>
      <c r="JVM60" s="250"/>
      <c r="JVN60" s="250"/>
      <c r="JVO60" s="250"/>
      <c r="JVP60" s="250"/>
      <c r="JVQ60" s="250"/>
      <c r="JVR60" s="250"/>
      <c r="JVS60" s="250"/>
      <c r="JVT60" s="250"/>
      <c r="JVU60" s="250"/>
      <c r="JVV60" s="250"/>
      <c r="JVW60" s="250"/>
      <c r="JVX60" s="250"/>
      <c r="JVY60" s="250"/>
      <c r="JVZ60" s="250"/>
      <c r="JWA60" s="250"/>
      <c r="JWB60" s="250"/>
      <c r="JWC60" s="250"/>
      <c r="JWD60" s="250"/>
      <c r="JWE60" s="250"/>
      <c r="JWF60" s="250"/>
      <c r="JWG60" s="250"/>
      <c r="JWH60" s="250"/>
      <c r="JWI60" s="250"/>
      <c r="JWJ60" s="250"/>
      <c r="JWK60" s="250"/>
      <c r="JWL60" s="250"/>
      <c r="JWM60" s="250"/>
      <c r="JWN60" s="250"/>
      <c r="JWO60" s="250"/>
      <c r="JWP60" s="250"/>
      <c r="JWQ60" s="250"/>
      <c r="JWR60" s="250"/>
      <c r="JWS60" s="250"/>
      <c r="JWT60" s="250"/>
      <c r="JWU60" s="250"/>
      <c r="JWV60" s="250"/>
      <c r="JWW60" s="250"/>
      <c r="JWX60" s="250"/>
      <c r="JWY60" s="250"/>
      <c r="JWZ60" s="250"/>
      <c r="JXA60" s="250"/>
      <c r="JXB60" s="250"/>
      <c r="JXC60" s="250"/>
      <c r="JXD60" s="250"/>
      <c r="JXE60" s="250"/>
      <c r="JXF60" s="250"/>
      <c r="JXG60" s="250"/>
      <c r="JXH60" s="250"/>
      <c r="JXI60" s="250"/>
      <c r="JXJ60" s="250"/>
      <c r="JXK60" s="250"/>
      <c r="JXL60" s="250"/>
      <c r="JXM60" s="250"/>
      <c r="JXN60" s="250"/>
      <c r="JXO60" s="250"/>
      <c r="JXP60" s="250"/>
      <c r="JXQ60" s="250"/>
      <c r="JXR60" s="250"/>
      <c r="JXS60" s="250"/>
      <c r="JXT60" s="250"/>
      <c r="JXU60" s="250"/>
      <c r="JXV60" s="250"/>
      <c r="JXW60" s="250"/>
      <c r="JXX60" s="250"/>
      <c r="JXY60" s="250"/>
      <c r="JXZ60" s="250"/>
      <c r="JYA60" s="250"/>
      <c r="JYB60" s="250"/>
      <c r="JYC60" s="250"/>
      <c r="JYD60" s="250"/>
      <c r="JYE60" s="250"/>
      <c r="JYF60" s="250"/>
      <c r="JYG60" s="250"/>
      <c r="JYH60" s="250"/>
      <c r="JYI60" s="250"/>
      <c r="JYJ60" s="250"/>
      <c r="JYK60" s="250"/>
      <c r="JYL60" s="250"/>
      <c r="JYM60" s="250"/>
      <c r="JYN60" s="250"/>
      <c r="JYO60" s="250"/>
      <c r="JYP60" s="250"/>
      <c r="JYQ60" s="250"/>
      <c r="JYR60" s="250"/>
      <c r="JYS60" s="250"/>
      <c r="JYT60" s="250"/>
      <c r="JYU60" s="250"/>
      <c r="JYV60" s="250"/>
      <c r="JYW60" s="250"/>
      <c r="JYX60" s="250"/>
      <c r="JYY60" s="250"/>
      <c r="JYZ60" s="250"/>
      <c r="JZA60" s="250"/>
      <c r="JZB60" s="250"/>
      <c r="JZC60" s="250"/>
      <c r="JZD60" s="250"/>
      <c r="JZE60" s="250"/>
      <c r="JZF60" s="250"/>
      <c r="JZG60" s="250"/>
      <c r="JZH60" s="250"/>
      <c r="JZI60" s="250"/>
      <c r="JZJ60" s="250"/>
      <c r="JZK60" s="250"/>
      <c r="JZL60" s="250"/>
      <c r="JZM60" s="250"/>
      <c r="JZN60" s="250"/>
      <c r="JZO60" s="250"/>
      <c r="JZP60" s="250"/>
      <c r="JZQ60" s="250"/>
      <c r="JZR60" s="250"/>
      <c r="JZS60" s="250"/>
      <c r="JZT60" s="250"/>
      <c r="JZU60" s="250"/>
      <c r="JZV60" s="250"/>
      <c r="JZW60" s="250"/>
      <c r="JZX60" s="250"/>
      <c r="JZY60" s="250"/>
      <c r="JZZ60" s="250"/>
      <c r="KAA60" s="250"/>
      <c r="KAB60" s="250"/>
      <c r="KAC60" s="250"/>
      <c r="KAD60" s="250"/>
      <c r="KAE60" s="250"/>
      <c r="KAF60" s="250"/>
      <c r="KAG60" s="250"/>
      <c r="KAH60" s="250"/>
      <c r="KAI60" s="250"/>
      <c r="KAJ60" s="250"/>
      <c r="KAK60" s="250"/>
      <c r="KAL60" s="250"/>
      <c r="KAM60" s="250"/>
      <c r="KAN60" s="250"/>
      <c r="KAO60" s="250"/>
      <c r="KAP60" s="250"/>
      <c r="KAQ60" s="250"/>
      <c r="KAR60" s="250"/>
      <c r="KAS60" s="250"/>
      <c r="KAT60" s="250"/>
      <c r="KAU60" s="250"/>
      <c r="KAV60" s="250"/>
      <c r="KAW60" s="250"/>
      <c r="KAX60" s="250"/>
      <c r="KAY60" s="250"/>
      <c r="KAZ60" s="250"/>
      <c r="KBA60" s="250"/>
      <c r="KBB60" s="250"/>
      <c r="KBC60" s="250"/>
      <c r="KBD60" s="250"/>
      <c r="KBE60" s="250"/>
      <c r="KBF60" s="250"/>
      <c r="KBG60" s="250"/>
      <c r="KBH60" s="250"/>
      <c r="KBI60" s="250"/>
      <c r="KBJ60" s="250"/>
      <c r="KBK60" s="250"/>
      <c r="KBL60" s="250"/>
      <c r="KBM60" s="250"/>
      <c r="KBN60" s="250"/>
      <c r="KBO60" s="250"/>
      <c r="KBP60" s="250"/>
      <c r="KBQ60" s="250"/>
      <c r="KBR60" s="250"/>
      <c r="KBS60" s="250"/>
      <c r="KBT60" s="250"/>
      <c r="KBU60" s="250"/>
      <c r="KBV60" s="250"/>
      <c r="KBW60" s="250"/>
      <c r="KBX60" s="250"/>
      <c r="KBY60" s="250"/>
      <c r="KBZ60" s="250"/>
      <c r="KCA60" s="250"/>
      <c r="KCB60" s="250"/>
      <c r="KCC60" s="250"/>
      <c r="KCD60" s="250"/>
      <c r="KCE60" s="250"/>
      <c r="KCF60" s="250"/>
      <c r="KCG60" s="250"/>
      <c r="KCH60" s="250"/>
      <c r="KCI60" s="250"/>
      <c r="KCJ60" s="250"/>
      <c r="KCK60" s="250"/>
      <c r="KCL60" s="250"/>
      <c r="KCM60" s="250"/>
      <c r="KCN60" s="250"/>
      <c r="KCO60" s="250"/>
      <c r="KCP60" s="250"/>
      <c r="KCQ60" s="250"/>
      <c r="KCR60" s="250"/>
      <c r="KCS60" s="250"/>
      <c r="KCT60" s="250"/>
      <c r="KCU60" s="250"/>
      <c r="KCV60" s="250"/>
      <c r="KCW60" s="250"/>
      <c r="KCX60" s="250"/>
      <c r="KCY60" s="250"/>
      <c r="KCZ60" s="250"/>
      <c r="KDA60" s="250"/>
      <c r="KDB60" s="250"/>
      <c r="KDC60" s="250"/>
      <c r="KDD60" s="250"/>
      <c r="KDE60" s="250"/>
      <c r="KDF60" s="250"/>
      <c r="KDG60" s="250"/>
      <c r="KDH60" s="250"/>
      <c r="KDI60" s="250"/>
      <c r="KDJ60" s="250"/>
      <c r="KDK60" s="250"/>
      <c r="KDL60" s="250"/>
      <c r="KDM60" s="250"/>
      <c r="KDN60" s="250"/>
      <c r="KDO60" s="250"/>
      <c r="KDP60" s="250"/>
      <c r="KDQ60" s="250"/>
      <c r="KDR60" s="250"/>
      <c r="KDS60" s="250"/>
      <c r="KDT60" s="250"/>
      <c r="KDU60" s="250"/>
      <c r="KDV60" s="250"/>
      <c r="KDW60" s="250"/>
      <c r="KDX60" s="250"/>
      <c r="KDY60" s="250"/>
      <c r="KDZ60" s="250"/>
      <c r="KEA60" s="250"/>
      <c r="KEB60" s="250"/>
      <c r="KEC60" s="250"/>
      <c r="KED60" s="250"/>
      <c r="KEE60" s="250"/>
      <c r="KEF60" s="250"/>
      <c r="KEG60" s="250"/>
      <c r="KEH60" s="250"/>
      <c r="KEI60" s="250"/>
      <c r="KEJ60" s="250"/>
      <c r="KEK60" s="250"/>
      <c r="KEL60" s="250"/>
      <c r="KEM60" s="250"/>
      <c r="KEN60" s="250"/>
      <c r="KEO60" s="250"/>
      <c r="KEP60" s="250"/>
      <c r="KEQ60" s="250"/>
      <c r="KER60" s="250"/>
      <c r="KES60" s="250"/>
      <c r="KET60" s="250"/>
      <c r="KEU60" s="250"/>
      <c r="KEV60" s="250"/>
      <c r="KEW60" s="250"/>
      <c r="KEX60" s="250"/>
      <c r="KEY60" s="250"/>
      <c r="KEZ60" s="250"/>
      <c r="KFA60" s="250"/>
      <c r="KFB60" s="250"/>
      <c r="KFC60" s="250"/>
      <c r="KFD60" s="250"/>
      <c r="KFE60" s="250"/>
      <c r="KFF60" s="250"/>
      <c r="KFG60" s="250"/>
      <c r="KFH60" s="250"/>
      <c r="KFI60" s="250"/>
      <c r="KFJ60" s="250"/>
      <c r="KFK60" s="250"/>
      <c r="KFL60" s="250"/>
      <c r="KFM60" s="250"/>
      <c r="KFN60" s="250"/>
      <c r="KFO60" s="250"/>
      <c r="KFP60" s="250"/>
      <c r="KFQ60" s="250"/>
      <c r="KFR60" s="250"/>
      <c r="KFS60" s="250"/>
      <c r="KFT60" s="250"/>
      <c r="KFU60" s="250"/>
      <c r="KFV60" s="250"/>
      <c r="KFW60" s="250"/>
      <c r="KFX60" s="250"/>
      <c r="KFY60" s="250"/>
      <c r="KFZ60" s="250"/>
      <c r="KGA60" s="250"/>
      <c r="KGB60" s="250"/>
      <c r="KGC60" s="250"/>
      <c r="KGD60" s="250"/>
      <c r="KGE60" s="250"/>
      <c r="KGF60" s="250"/>
      <c r="KGG60" s="250"/>
      <c r="KGH60" s="250"/>
      <c r="KGI60" s="250"/>
      <c r="KGJ60" s="250"/>
      <c r="KGK60" s="250"/>
      <c r="KGL60" s="250"/>
      <c r="KGM60" s="250"/>
      <c r="KGN60" s="250"/>
      <c r="KGO60" s="250"/>
      <c r="KGP60" s="250"/>
      <c r="KGQ60" s="250"/>
      <c r="KGR60" s="250"/>
      <c r="KGS60" s="250"/>
      <c r="KGT60" s="250"/>
      <c r="KGU60" s="250"/>
      <c r="KGV60" s="250"/>
      <c r="KGW60" s="250"/>
      <c r="KGX60" s="250"/>
      <c r="KGY60" s="250"/>
      <c r="KGZ60" s="250"/>
      <c r="KHA60" s="250"/>
      <c r="KHB60" s="250"/>
      <c r="KHC60" s="250"/>
      <c r="KHD60" s="250"/>
      <c r="KHE60" s="250"/>
      <c r="KHF60" s="250"/>
      <c r="KHG60" s="250"/>
      <c r="KHH60" s="250"/>
      <c r="KHI60" s="250"/>
      <c r="KHJ60" s="250"/>
      <c r="KHK60" s="250"/>
      <c r="KHL60" s="250"/>
      <c r="KHM60" s="250"/>
      <c r="KHN60" s="250"/>
      <c r="KHO60" s="250"/>
      <c r="KHP60" s="250"/>
      <c r="KHQ60" s="250"/>
      <c r="KHR60" s="250"/>
      <c r="KHS60" s="250"/>
      <c r="KHT60" s="250"/>
      <c r="KHU60" s="250"/>
      <c r="KHV60" s="250"/>
      <c r="KHW60" s="250"/>
      <c r="KHX60" s="250"/>
      <c r="KHY60" s="250"/>
      <c r="KHZ60" s="250"/>
      <c r="KIA60" s="250"/>
      <c r="KIB60" s="250"/>
      <c r="KIC60" s="250"/>
      <c r="KID60" s="250"/>
      <c r="KIE60" s="250"/>
      <c r="KIF60" s="250"/>
      <c r="KIG60" s="250"/>
      <c r="KIH60" s="250"/>
      <c r="KII60" s="250"/>
      <c r="KIJ60" s="250"/>
      <c r="KIK60" s="250"/>
      <c r="KIL60" s="250"/>
      <c r="KIM60" s="250"/>
      <c r="KIN60" s="250"/>
      <c r="KIO60" s="250"/>
      <c r="KIP60" s="250"/>
      <c r="KIQ60" s="250"/>
      <c r="KIR60" s="250"/>
      <c r="KIS60" s="250"/>
      <c r="KIT60" s="250"/>
      <c r="KIU60" s="250"/>
      <c r="KIV60" s="250"/>
      <c r="KIW60" s="250"/>
      <c r="KIX60" s="250"/>
      <c r="KIY60" s="250"/>
      <c r="KIZ60" s="250"/>
      <c r="KJA60" s="250"/>
      <c r="KJB60" s="250"/>
      <c r="KJC60" s="250"/>
      <c r="KJD60" s="250"/>
      <c r="KJE60" s="250"/>
      <c r="KJF60" s="250"/>
      <c r="KJG60" s="250"/>
      <c r="KJH60" s="250"/>
      <c r="KJI60" s="250"/>
      <c r="KJJ60" s="250"/>
      <c r="KJK60" s="250"/>
      <c r="KJL60" s="250"/>
      <c r="KJM60" s="250"/>
      <c r="KJN60" s="250"/>
      <c r="KJO60" s="250"/>
      <c r="KJP60" s="250"/>
      <c r="KJQ60" s="250"/>
      <c r="KJR60" s="250"/>
      <c r="KJS60" s="250"/>
      <c r="KJT60" s="250"/>
      <c r="KJU60" s="250"/>
      <c r="KJV60" s="250"/>
      <c r="KJW60" s="250"/>
      <c r="KJX60" s="250"/>
      <c r="KJY60" s="250"/>
      <c r="KJZ60" s="250"/>
      <c r="KKA60" s="250"/>
      <c r="KKB60" s="250"/>
      <c r="KKC60" s="250"/>
      <c r="KKD60" s="250"/>
      <c r="KKE60" s="250"/>
      <c r="KKF60" s="250"/>
      <c r="KKG60" s="250"/>
      <c r="KKH60" s="250"/>
      <c r="KKI60" s="250"/>
      <c r="KKJ60" s="250"/>
      <c r="KKK60" s="250"/>
      <c r="KKL60" s="250"/>
      <c r="KKM60" s="250"/>
      <c r="KKN60" s="250"/>
      <c r="KKO60" s="250"/>
      <c r="KKP60" s="250"/>
      <c r="KKQ60" s="250"/>
      <c r="KKR60" s="250"/>
      <c r="KKS60" s="250"/>
      <c r="KKT60" s="250"/>
      <c r="KKU60" s="250"/>
      <c r="KKV60" s="250"/>
      <c r="KKW60" s="250"/>
      <c r="KKX60" s="250"/>
      <c r="KKY60" s="250"/>
      <c r="KKZ60" s="250"/>
      <c r="KLA60" s="250"/>
      <c r="KLB60" s="250"/>
      <c r="KLC60" s="250"/>
      <c r="KLD60" s="250"/>
      <c r="KLE60" s="250"/>
      <c r="KLF60" s="250"/>
      <c r="KLG60" s="250"/>
      <c r="KLH60" s="250"/>
      <c r="KLI60" s="250"/>
      <c r="KLJ60" s="250"/>
      <c r="KLK60" s="250"/>
      <c r="KLL60" s="250"/>
      <c r="KLM60" s="250"/>
      <c r="KLN60" s="250"/>
      <c r="KLO60" s="250"/>
      <c r="KLP60" s="250"/>
      <c r="KLQ60" s="250"/>
      <c r="KLR60" s="250"/>
      <c r="KLS60" s="250"/>
      <c r="KLT60" s="250"/>
      <c r="KLU60" s="250"/>
      <c r="KLV60" s="250"/>
      <c r="KLW60" s="250"/>
      <c r="KLX60" s="250"/>
      <c r="KLY60" s="250"/>
      <c r="KLZ60" s="250"/>
      <c r="KMA60" s="250"/>
      <c r="KMB60" s="250"/>
      <c r="KMC60" s="250"/>
      <c r="KMD60" s="250"/>
      <c r="KME60" s="250"/>
      <c r="KMF60" s="250"/>
      <c r="KMG60" s="250"/>
      <c r="KMH60" s="250"/>
      <c r="KMI60" s="250"/>
      <c r="KMJ60" s="250"/>
      <c r="KMK60" s="250"/>
      <c r="KML60" s="250"/>
      <c r="KMM60" s="250"/>
      <c r="KMN60" s="250"/>
      <c r="KMO60" s="250"/>
      <c r="KMP60" s="250"/>
      <c r="KMQ60" s="250"/>
      <c r="KMR60" s="250"/>
      <c r="KMS60" s="250"/>
      <c r="KMT60" s="250"/>
      <c r="KMU60" s="250"/>
      <c r="KMV60" s="250"/>
      <c r="KMW60" s="250"/>
      <c r="KMX60" s="250"/>
      <c r="KMY60" s="250"/>
      <c r="KMZ60" s="250"/>
      <c r="KNA60" s="250"/>
      <c r="KNB60" s="250"/>
      <c r="KNC60" s="250"/>
      <c r="KND60" s="250"/>
      <c r="KNE60" s="250"/>
      <c r="KNF60" s="250"/>
      <c r="KNG60" s="250"/>
      <c r="KNH60" s="250"/>
      <c r="KNI60" s="250"/>
      <c r="KNJ60" s="250"/>
      <c r="KNK60" s="250"/>
      <c r="KNL60" s="250"/>
      <c r="KNM60" s="250"/>
      <c r="KNN60" s="250"/>
      <c r="KNO60" s="250"/>
      <c r="KNP60" s="250"/>
      <c r="KNQ60" s="250"/>
      <c r="KNR60" s="250"/>
      <c r="KNS60" s="250"/>
      <c r="KNT60" s="250"/>
      <c r="KNU60" s="250"/>
      <c r="KNV60" s="250"/>
      <c r="KNW60" s="250"/>
      <c r="KNX60" s="250"/>
      <c r="KNY60" s="250"/>
      <c r="KNZ60" s="250"/>
      <c r="KOA60" s="250"/>
      <c r="KOB60" s="250"/>
      <c r="KOC60" s="250"/>
      <c r="KOD60" s="250"/>
      <c r="KOE60" s="250"/>
      <c r="KOF60" s="250"/>
      <c r="KOG60" s="250"/>
      <c r="KOH60" s="250"/>
      <c r="KOI60" s="250"/>
      <c r="KOJ60" s="250"/>
      <c r="KOK60" s="250"/>
      <c r="KOL60" s="250"/>
      <c r="KOM60" s="250"/>
      <c r="KON60" s="250"/>
      <c r="KOO60" s="250"/>
      <c r="KOP60" s="250"/>
      <c r="KOQ60" s="250"/>
      <c r="KOR60" s="250"/>
      <c r="KOS60" s="250"/>
      <c r="KOT60" s="250"/>
      <c r="KOU60" s="250"/>
      <c r="KOV60" s="250"/>
      <c r="KOW60" s="250"/>
      <c r="KOX60" s="250"/>
      <c r="KOY60" s="250"/>
      <c r="KOZ60" s="250"/>
      <c r="KPA60" s="250"/>
      <c r="KPB60" s="250"/>
      <c r="KPC60" s="250"/>
      <c r="KPD60" s="250"/>
      <c r="KPE60" s="250"/>
      <c r="KPF60" s="250"/>
      <c r="KPG60" s="250"/>
      <c r="KPH60" s="250"/>
      <c r="KPI60" s="250"/>
      <c r="KPJ60" s="250"/>
      <c r="KPK60" s="250"/>
      <c r="KPL60" s="250"/>
      <c r="KPM60" s="250"/>
      <c r="KPN60" s="250"/>
      <c r="KPO60" s="250"/>
      <c r="KPP60" s="250"/>
      <c r="KPQ60" s="250"/>
      <c r="KPR60" s="250"/>
      <c r="KPS60" s="250"/>
      <c r="KPT60" s="250"/>
      <c r="KPU60" s="250"/>
      <c r="KPV60" s="250"/>
      <c r="KPW60" s="250"/>
      <c r="KPX60" s="250"/>
      <c r="KPY60" s="250"/>
      <c r="KPZ60" s="250"/>
      <c r="KQA60" s="250"/>
      <c r="KQB60" s="250"/>
      <c r="KQC60" s="250"/>
      <c r="KQD60" s="250"/>
      <c r="KQE60" s="250"/>
      <c r="KQF60" s="250"/>
      <c r="KQG60" s="250"/>
      <c r="KQH60" s="250"/>
      <c r="KQI60" s="250"/>
      <c r="KQJ60" s="250"/>
      <c r="KQK60" s="250"/>
      <c r="KQL60" s="250"/>
      <c r="KQM60" s="250"/>
      <c r="KQN60" s="250"/>
      <c r="KQO60" s="250"/>
      <c r="KQP60" s="250"/>
      <c r="KQQ60" s="250"/>
      <c r="KQR60" s="250"/>
      <c r="KQS60" s="250"/>
      <c r="KQT60" s="250"/>
      <c r="KQU60" s="250"/>
      <c r="KQV60" s="250"/>
      <c r="KQW60" s="250"/>
      <c r="KQX60" s="250"/>
      <c r="KQY60" s="250"/>
      <c r="KQZ60" s="250"/>
      <c r="KRA60" s="250"/>
      <c r="KRB60" s="250"/>
      <c r="KRC60" s="250"/>
      <c r="KRD60" s="250"/>
      <c r="KRE60" s="250"/>
      <c r="KRF60" s="250"/>
      <c r="KRG60" s="250"/>
      <c r="KRH60" s="250"/>
      <c r="KRI60" s="250"/>
      <c r="KRJ60" s="250"/>
      <c r="KRK60" s="250"/>
      <c r="KRL60" s="250"/>
      <c r="KRM60" s="250"/>
      <c r="KRN60" s="250"/>
      <c r="KRO60" s="250"/>
      <c r="KRP60" s="250"/>
      <c r="KRQ60" s="250"/>
      <c r="KRR60" s="250"/>
      <c r="KRS60" s="250"/>
      <c r="KRT60" s="250"/>
      <c r="KRU60" s="250"/>
      <c r="KRV60" s="250"/>
      <c r="KRW60" s="250"/>
      <c r="KRX60" s="250"/>
      <c r="KRY60" s="250"/>
      <c r="KRZ60" s="250"/>
      <c r="KSA60" s="250"/>
      <c r="KSB60" s="250"/>
      <c r="KSC60" s="250"/>
      <c r="KSD60" s="250"/>
      <c r="KSE60" s="250"/>
      <c r="KSF60" s="250"/>
      <c r="KSG60" s="250"/>
      <c r="KSH60" s="250"/>
      <c r="KSI60" s="250"/>
      <c r="KSJ60" s="250"/>
      <c r="KSK60" s="250"/>
      <c r="KSL60" s="250"/>
      <c r="KSM60" s="250"/>
      <c r="KSN60" s="250"/>
      <c r="KSO60" s="250"/>
      <c r="KSP60" s="250"/>
      <c r="KSQ60" s="250"/>
      <c r="KSR60" s="250"/>
      <c r="KSS60" s="250"/>
      <c r="KST60" s="250"/>
      <c r="KSU60" s="250"/>
      <c r="KSV60" s="250"/>
      <c r="KSW60" s="250"/>
      <c r="KSX60" s="250"/>
      <c r="KSY60" s="250"/>
      <c r="KSZ60" s="250"/>
      <c r="KTA60" s="250"/>
      <c r="KTB60" s="250"/>
      <c r="KTC60" s="250"/>
      <c r="KTD60" s="250"/>
      <c r="KTE60" s="250"/>
      <c r="KTF60" s="250"/>
      <c r="KTG60" s="250"/>
      <c r="KTH60" s="250"/>
      <c r="KTI60" s="250"/>
      <c r="KTJ60" s="250"/>
      <c r="KTK60" s="250"/>
      <c r="KTL60" s="250"/>
      <c r="KTM60" s="250"/>
      <c r="KTN60" s="250"/>
      <c r="KTO60" s="250"/>
      <c r="KTP60" s="250"/>
      <c r="KTQ60" s="250"/>
      <c r="KTR60" s="250"/>
      <c r="KTS60" s="250"/>
      <c r="KTT60" s="250"/>
      <c r="KTU60" s="250"/>
      <c r="KTV60" s="250"/>
      <c r="KTW60" s="250"/>
      <c r="KTX60" s="250"/>
      <c r="KTY60" s="250"/>
      <c r="KTZ60" s="250"/>
      <c r="KUA60" s="250"/>
      <c r="KUB60" s="250"/>
      <c r="KUC60" s="250"/>
      <c r="KUD60" s="250"/>
      <c r="KUE60" s="250"/>
      <c r="KUF60" s="250"/>
      <c r="KUG60" s="250"/>
      <c r="KUH60" s="250"/>
      <c r="KUI60" s="250"/>
      <c r="KUJ60" s="250"/>
      <c r="KUK60" s="250"/>
      <c r="KUL60" s="250"/>
      <c r="KUM60" s="250"/>
      <c r="KUN60" s="250"/>
      <c r="KUO60" s="250"/>
      <c r="KUP60" s="250"/>
      <c r="KUQ60" s="250"/>
      <c r="KUR60" s="250"/>
      <c r="KUS60" s="250"/>
      <c r="KUT60" s="250"/>
      <c r="KUU60" s="250"/>
      <c r="KUV60" s="250"/>
      <c r="KUW60" s="250"/>
      <c r="KUX60" s="250"/>
      <c r="KUY60" s="250"/>
      <c r="KUZ60" s="250"/>
      <c r="KVA60" s="250"/>
      <c r="KVB60" s="250"/>
      <c r="KVC60" s="250"/>
      <c r="KVD60" s="250"/>
      <c r="KVE60" s="250"/>
      <c r="KVF60" s="250"/>
      <c r="KVG60" s="250"/>
      <c r="KVH60" s="250"/>
      <c r="KVI60" s="250"/>
      <c r="KVJ60" s="250"/>
      <c r="KVK60" s="250"/>
      <c r="KVL60" s="250"/>
      <c r="KVM60" s="250"/>
      <c r="KVN60" s="250"/>
      <c r="KVO60" s="250"/>
      <c r="KVP60" s="250"/>
      <c r="KVQ60" s="250"/>
      <c r="KVR60" s="250"/>
      <c r="KVS60" s="250"/>
      <c r="KVT60" s="250"/>
      <c r="KVU60" s="250"/>
      <c r="KVV60" s="250"/>
      <c r="KVW60" s="250"/>
      <c r="KVX60" s="250"/>
      <c r="KVY60" s="250"/>
      <c r="KVZ60" s="250"/>
      <c r="KWA60" s="250"/>
      <c r="KWB60" s="250"/>
      <c r="KWC60" s="250"/>
      <c r="KWD60" s="250"/>
      <c r="KWE60" s="250"/>
      <c r="KWF60" s="250"/>
      <c r="KWG60" s="250"/>
      <c r="KWH60" s="250"/>
      <c r="KWI60" s="250"/>
      <c r="KWJ60" s="250"/>
      <c r="KWK60" s="250"/>
      <c r="KWL60" s="250"/>
      <c r="KWM60" s="250"/>
      <c r="KWN60" s="250"/>
      <c r="KWO60" s="250"/>
      <c r="KWP60" s="250"/>
      <c r="KWQ60" s="250"/>
      <c r="KWR60" s="250"/>
      <c r="KWS60" s="250"/>
      <c r="KWT60" s="250"/>
      <c r="KWU60" s="250"/>
      <c r="KWV60" s="250"/>
      <c r="KWW60" s="250"/>
      <c r="KWX60" s="250"/>
      <c r="KWY60" s="250"/>
      <c r="KWZ60" s="250"/>
      <c r="KXA60" s="250"/>
      <c r="KXB60" s="250"/>
      <c r="KXC60" s="250"/>
      <c r="KXD60" s="250"/>
      <c r="KXE60" s="250"/>
      <c r="KXF60" s="250"/>
      <c r="KXG60" s="250"/>
      <c r="KXH60" s="250"/>
      <c r="KXI60" s="250"/>
      <c r="KXJ60" s="250"/>
      <c r="KXK60" s="250"/>
      <c r="KXL60" s="250"/>
      <c r="KXM60" s="250"/>
      <c r="KXN60" s="250"/>
      <c r="KXO60" s="250"/>
      <c r="KXP60" s="250"/>
      <c r="KXQ60" s="250"/>
      <c r="KXR60" s="250"/>
      <c r="KXS60" s="250"/>
      <c r="KXT60" s="250"/>
      <c r="KXU60" s="250"/>
      <c r="KXV60" s="250"/>
      <c r="KXW60" s="250"/>
      <c r="KXX60" s="250"/>
      <c r="KXY60" s="250"/>
      <c r="KXZ60" s="250"/>
      <c r="KYA60" s="250"/>
      <c r="KYB60" s="250"/>
      <c r="KYC60" s="250"/>
      <c r="KYD60" s="250"/>
      <c r="KYE60" s="250"/>
      <c r="KYF60" s="250"/>
      <c r="KYG60" s="250"/>
      <c r="KYH60" s="250"/>
      <c r="KYI60" s="250"/>
      <c r="KYJ60" s="250"/>
      <c r="KYK60" s="250"/>
      <c r="KYL60" s="250"/>
      <c r="KYM60" s="250"/>
      <c r="KYN60" s="250"/>
      <c r="KYO60" s="250"/>
      <c r="KYP60" s="250"/>
      <c r="KYQ60" s="250"/>
      <c r="KYR60" s="250"/>
      <c r="KYS60" s="250"/>
      <c r="KYT60" s="250"/>
      <c r="KYU60" s="250"/>
      <c r="KYV60" s="250"/>
      <c r="KYW60" s="250"/>
      <c r="KYX60" s="250"/>
      <c r="KYY60" s="250"/>
      <c r="KYZ60" s="250"/>
      <c r="KZA60" s="250"/>
      <c r="KZB60" s="250"/>
      <c r="KZC60" s="250"/>
      <c r="KZD60" s="250"/>
      <c r="KZE60" s="250"/>
      <c r="KZF60" s="250"/>
      <c r="KZG60" s="250"/>
      <c r="KZH60" s="250"/>
      <c r="KZI60" s="250"/>
      <c r="KZJ60" s="250"/>
      <c r="KZK60" s="250"/>
      <c r="KZL60" s="250"/>
      <c r="KZM60" s="250"/>
      <c r="KZN60" s="250"/>
      <c r="KZO60" s="250"/>
      <c r="KZP60" s="250"/>
      <c r="KZQ60" s="250"/>
      <c r="KZR60" s="250"/>
      <c r="KZS60" s="250"/>
      <c r="KZT60" s="250"/>
      <c r="KZU60" s="250"/>
      <c r="KZV60" s="250"/>
      <c r="KZW60" s="250"/>
      <c r="KZX60" s="250"/>
      <c r="KZY60" s="250"/>
      <c r="KZZ60" s="250"/>
      <c r="LAA60" s="250"/>
      <c r="LAB60" s="250"/>
      <c r="LAC60" s="250"/>
      <c r="LAD60" s="250"/>
      <c r="LAE60" s="250"/>
      <c r="LAF60" s="250"/>
      <c r="LAG60" s="250"/>
      <c r="LAH60" s="250"/>
      <c r="LAI60" s="250"/>
      <c r="LAJ60" s="250"/>
      <c r="LAK60" s="250"/>
      <c r="LAL60" s="250"/>
      <c r="LAM60" s="250"/>
      <c r="LAN60" s="250"/>
      <c r="LAO60" s="250"/>
      <c r="LAP60" s="250"/>
      <c r="LAQ60" s="250"/>
      <c r="LAR60" s="250"/>
      <c r="LAS60" s="250"/>
      <c r="LAT60" s="250"/>
      <c r="LAU60" s="250"/>
      <c r="LAV60" s="250"/>
      <c r="LAW60" s="250"/>
      <c r="LAX60" s="250"/>
      <c r="LAY60" s="250"/>
      <c r="LAZ60" s="250"/>
      <c r="LBA60" s="250"/>
      <c r="LBB60" s="250"/>
      <c r="LBC60" s="250"/>
      <c r="LBD60" s="250"/>
      <c r="LBE60" s="250"/>
      <c r="LBF60" s="250"/>
      <c r="LBG60" s="250"/>
      <c r="LBH60" s="250"/>
      <c r="LBI60" s="250"/>
      <c r="LBJ60" s="250"/>
      <c r="LBK60" s="250"/>
      <c r="LBL60" s="250"/>
      <c r="LBM60" s="250"/>
      <c r="LBN60" s="250"/>
      <c r="LBO60" s="250"/>
      <c r="LBP60" s="250"/>
      <c r="LBQ60" s="250"/>
      <c r="LBR60" s="250"/>
      <c r="LBS60" s="250"/>
      <c r="LBT60" s="250"/>
      <c r="LBU60" s="250"/>
      <c r="LBV60" s="250"/>
      <c r="LBW60" s="250"/>
      <c r="LBX60" s="250"/>
      <c r="LBY60" s="250"/>
      <c r="LBZ60" s="250"/>
      <c r="LCA60" s="250"/>
      <c r="LCB60" s="250"/>
      <c r="LCC60" s="250"/>
      <c r="LCD60" s="250"/>
      <c r="LCE60" s="250"/>
      <c r="LCF60" s="250"/>
      <c r="LCG60" s="250"/>
      <c r="LCH60" s="250"/>
      <c r="LCI60" s="250"/>
      <c r="LCJ60" s="250"/>
      <c r="LCK60" s="250"/>
      <c r="LCL60" s="250"/>
      <c r="LCM60" s="250"/>
      <c r="LCN60" s="250"/>
      <c r="LCO60" s="250"/>
      <c r="LCP60" s="250"/>
      <c r="LCQ60" s="250"/>
      <c r="LCR60" s="250"/>
      <c r="LCS60" s="250"/>
      <c r="LCT60" s="250"/>
      <c r="LCU60" s="250"/>
      <c r="LCV60" s="250"/>
      <c r="LCW60" s="250"/>
      <c r="LCX60" s="250"/>
      <c r="LCY60" s="250"/>
      <c r="LCZ60" s="250"/>
      <c r="LDA60" s="250"/>
      <c r="LDB60" s="250"/>
      <c r="LDC60" s="250"/>
      <c r="LDD60" s="250"/>
      <c r="LDE60" s="250"/>
      <c r="LDF60" s="250"/>
      <c r="LDG60" s="250"/>
      <c r="LDH60" s="250"/>
      <c r="LDI60" s="250"/>
      <c r="LDJ60" s="250"/>
      <c r="LDK60" s="250"/>
      <c r="LDL60" s="250"/>
      <c r="LDM60" s="250"/>
      <c r="LDN60" s="250"/>
      <c r="LDO60" s="250"/>
      <c r="LDP60" s="250"/>
      <c r="LDQ60" s="250"/>
      <c r="LDR60" s="250"/>
      <c r="LDS60" s="250"/>
      <c r="LDT60" s="250"/>
      <c r="LDU60" s="250"/>
      <c r="LDV60" s="250"/>
      <c r="LDW60" s="250"/>
      <c r="LDX60" s="250"/>
      <c r="LDY60" s="250"/>
      <c r="LDZ60" s="250"/>
      <c r="LEA60" s="250"/>
      <c r="LEB60" s="250"/>
      <c r="LEC60" s="250"/>
      <c r="LED60" s="250"/>
      <c r="LEE60" s="250"/>
      <c r="LEF60" s="250"/>
      <c r="LEG60" s="250"/>
      <c r="LEH60" s="250"/>
      <c r="LEI60" s="250"/>
      <c r="LEJ60" s="250"/>
      <c r="LEK60" s="250"/>
      <c r="LEL60" s="250"/>
      <c r="LEM60" s="250"/>
      <c r="LEN60" s="250"/>
      <c r="LEO60" s="250"/>
      <c r="LEP60" s="250"/>
      <c r="LEQ60" s="250"/>
      <c r="LER60" s="250"/>
      <c r="LES60" s="250"/>
      <c r="LET60" s="250"/>
      <c r="LEU60" s="250"/>
      <c r="LEV60" s="250"/>
      <c r="LEW60" s="250"/>
      <c r="LEX60" s="250"/>
      <c r="LEY60" s="250"/>
      <c r="LEZ60" s="250"/>
      <c r="LFA60" s="250"/>
      <c r="LFB60" s="250"/>
      <c r="LFC60" s="250"/>
      <c r="LFD60" s="250"/>
      <c r="LFE60" s="250"/>
      <c r="LFF60" s="250"/>
      <c r="LFG60" s="250"/>
      <c r="LFH60" s="250"/>
      <c r="LFI60" s="250"/>
      <c r="LFJ60" s="250"/>
      <c r="LFK60" s="250"/>
      <c r="LFL60" s="250"/>
      <c r="LFM60" s="250"/>
      <c r="LFN60" s="250"/>
      <c r="LFO60" s="250"/>
      <c r="LFP60" s="250"/>
      <c r="LFQ60" s="250"/>
      <c r="LFR60" s="250"/>
      <c r="LFS60" s="250"/>
      <c r="LFT60" s="250"/>
      <c r="LFU60" s="250"/>
      <c r="LFV60" s="250"/>
      <c r="LFW60" s="250"/>
      <c r="LFX60" s="250"/>
      <c r="LFY60" s="250"/>
      <c r="LFZ60" s="250"/>
      <c r="LGA60" s="250"/>
      <c r="LGB60" s="250"/>
      <c r="LGC60" s="250"/>
      <c r="LGD60" s="250"/>
      <c r="LGE60" s="250"/>
      <c r="LGF60" s="250"/>
      <c r="LGG60" s="250"/>
      <c r="LGH60" s="250"/>
      <c r="LGI60" s="250"/>
      <c r="LGJ60" s="250"/>
      <c r="LGK60" s="250"/>
      <c r="LGL60" s="250"/>
      <c r="LGM60" s="250"/>
      <c r="LGN60" s="250"/>
      <c r="LGO60" s="250"/>
      <c r="LGP60" s="250"/>
      <c r="LGQ60" s="250"/>
      <c r="LGR60" s="250"/>
      <c r="LGS60" s="250"/>
      <c r="LGT60" s="250"/>
      <c r="LGU60" s="250"/>
      <c r="LGV60" s="250"/>
      <c r="LGW60" s="250"/>
      <c r="LGX60" s="250"/>
      <c r="LGY60" s="250"/>
      <c r="LGZ60" s="250"/>
      <c r="LHA60" s="250"/>
      <c r="LHB60" s="250"/>
      <c r="LHC60" s="250"/>
      <c r="LHD60" s="250"/>
      <c r="LHE60" s="250"/>
      <c r="LHF60" s="250"/>
      <c r="LHG60" s="250"/>
      <c r="LHH60" s="250"/>
      <c r="LHI60" s="250"/>
      <c r="LHJ60" s="250"/>
      <c r="LHK60" s="250"/>
      <c r="LHL60" s="250"/>
      <c r="LHM60" s="250"/>
      <c r="LHN60" s="250"/>
      <c r="LHO60" s="250"/>
      <c r="LHP60" s="250"/>
      <c r="LHQ60" s="250"/>
      <c r="LHR60" s="250"/>
      <c r="LHS60" s="250"/>
      <c r="LHT60" s="250"/>
      <c r="LHU60" s="250"/>
      <c r="LHV60" s="250"/>
      <c r="LHW60" s="250"/>
      <c r="LHX60" s="250"/>
      <c r="LHY60" s="250"/>
      <c r="LHZ60" s="250"/>
      <c r="LIA60" s="250"/>
      <c r="LIB60" s="250"/>
      <c r="LIC60" s="250"/>
      <c r="LID60" s="250"/>
      <c r="LIE60" s="250"/>
      <c r="LIF60" s="250"/>
      <c r="LIG60" s="250"/>
      <c r="LIH60" s="250"/>
      <c r="LII60" s="250"/>
      <c r="LIJ60" s="250"/>
      <c r="LIK60" s="250"/>
      <c r="LIL60" s="250"/>
      <c r="LIM60" s="250"/>
      <c r="LIN60" s="250"/>
      <c r="LIO60" s="250"/>
      <c r="LIP60" s="250"/>
      <c r="LIQ60" s="250"/>
      <c r="LIR60" s="250"/>
      <c r="LIS60" s="250"/>
      <c r="LIT60" s="250"/>
      <c r="LIU60" s="250"/>
      <c r="LIV60" s="250"/>
      <c r="LIW60" s="250"/>
      <c r="LIX60" s="250"/>
      <c r="LIY60" s="250"/>
      <c r="LIZ60" s="250"/>
      <c r="LJA60" s="250"/>
      <c r="LJB60" s="250"/>
      <c r="LJC60" s="250"/>
      <c r="LJD60" s="250"/>
      <c r="LJE60" s="250"/>
      <c r="LJF60" s="250"/>
      <c r="LJG60" s="250"/>
      <c r="LJH60" s="250"/>
      <c r="LJI60" s="250"/>
      <c r="LJJ60" s="250"/>
      <c r="LJK60" s="250"/>
      <c r="LJL60" s="250"/>
      <c r="LJM60" s="250"/>
      <c r="LJN60" s="250"/>
      <c r="LJO60" s="250"/>
      <c r="LJP60" s="250"/>
      <c r="LJQ60" s="250"/>
      <c r="LJR60" s="250"/>
      <c r="LJS60" s="250"/>
      <c r="LJT60" s="250"/>
      <c r="LJU60" s="250"/>
      <c r="LJV60" s="250"/>
      <c r="LJW60" s="250"/>
      <c r="LJX60" s="250"/>
      <c r="LJY60" s="250"/>
      <c r="LJZ60" s="250"/>
      <c r="LKA60" s="250"/>
      <c r="LKB60" s="250"/>
      <c r="LKC60" s="250"/>
      <c r="LKD60" s="250"/>
      <c r="LKE60" s="250"/>
      <c r="LKF60" s="250"/>
      <c r="LKG60" s="250"/>
      <c r="LKH60" s="250"/>
      <c r="LKI60" s="250"/>
      <c r="LKJ60" s="250"/>
      <c r="LKK60" s="250"/>
      <c r="LKL60" s="250"/>
      <c r="LKM60" s="250"/>
      <c r="LKN60" s="250"/>
      <c r="LKO60" s="250"/>
      <c r="LKP60" s="250"/>
      <c r="LKQ60" s="250"/>
      <c r="LKR60" s="250"/>
      <c r="LKS60" s="250"/>
      <c r="LKT60" s="250"/>
      <c r="LKU60" s="250"/>
      <c r="LKV60" s="250"/>
      <c r="LKW60" s="250"/>
      <c r="LKX60" s="250"/>
      <c r="LKY60" s="250"/>
      <c r="LKZ60" s="250"/>
      <c r="LLA60" s="250"/>
      <c r="LLB60" s="250"/>
      <c r="LLC60" s="250"/>
      <c r="LLD60" s="250"/>
      <c r="LLE60" s="250"/>
      <c r="LLF60" s="250"/>
      <c r="LLG60" s="250"/>
      <c r="LLH60" s="250"/>
      <c r="LLI60" s="250"/>
      <c r="LLJ60" s="250"/>
      <c r="LLK60" s="250"/>
      <c r="LLL60" s="250"/>
      <c r="LLM60" s="250"/>
      <c r="LLN60" s="250"/>
      <c r="LLO60" s="250"/>
      <c r="LLP60" s="250"/>
      <c r="LLQ60" s="250"/>
      <c r="LLR60" s="250"/>
      <c r="LLS60" s="250"/>
      <c r="LLT60" s="250"/>
      <c r="LLU60" s="250"/>
      <c r="LLV60" s="250"/>
      <c r="LLW60" s="250"/>
      <c r="LLX60" s="250"/>
      <c r="LLY60" s="250"/>
      <c r="LLZ60" s="250"/>
      <c r="LMA60" s="250"/>
      <c r="LMB60" s="250"/>
      <c r="LMC60" s="250"/>
      <c r="LMD60" s="250"/>
      <c r="LME60" s="250"/>
      <c r="LMF60" s="250"/>
      <c r="LMG60" s="250"/>
      <c r="LMH60" s="250"/>
      <c r="LMI60" s="250"/>
      <c r="LMJ60" s="250"/>
      <c r="LMK60" s="250"/>
      <c r="LML60" s="250"/>
      <c r="LMM60" s="250"/>
      <c r="LMN60" s="250"/>
      <c r="LMO60" s="250"/>
      <c r="LMP60" s="250"/>
      <c r="LMQ60" s="250"/>
      <c r="LMR60" s="250"/>
      <c r="LMS60" s="250"/>
      <c r="LMT60" s="250"/>
      <c r="LMU60" s="250"/>
      <c r="LMV60" s="250"/>
      <c r="LMW60" s="250"/>
      <c r="LMX60" s="250"/>
      <c r="LMY60" s="250"/>
      <c r="LMZ60" s="250"/>
      <c r="LNA60" s="250"/>
      <c r="LNB60" s="250"/>
      <c r="LNC60" s="250"/>
      <c r="LND60" s="250"/>
      <c r="LNE60" s="250"/>
      <c r="LNF60" s="250"/>
      <c r="LNG60" s="250"/>
      <c r="LNH60" s="250"/>
      <c r="LNI60" s="250"/>
      <c r="LNJ60" s="250"/>
      <c r="LNK60" s="250"/>
      <c r="LNL60" s="250"/>
      <c r="LNM60" s="250"/>
      <c r="LNN60" s="250"/>
      <c r="LNO60" s="250"/>
      <c r="LNP60" s="250"/>
      <c r="LNQ60" s="250"/>
      <c r="LNR60" s="250"/>
      <c r="LNS60" s="250"/>
      <c r="LNT60" s="250"/>
      <c r="LNU60" s="250"/>
      <c r="LNV60" s="250"/>
      <c r="LNW60" s="250"/>
      <c r="LNX60" s="250"/>
      <c r="LNY60" s="250"/>
      <c r="LNZ60" s="250"/>
      <c r="LOA60" s="250"/>
      <c r="LOB60" s="250"/>
      <c r="LOC60" s="250"/>
      <c r="LOD60" s="250"/>
      <c r="LOE60" s="250"/>
      <c r="LOF60" s="250"/>
      <c r="LOG60" s="250"/>
      <c r="LOH60" s="250"/>
      <c r="LOI60" s="250"/>
      <c r="LOJ60" s="250"/>
      <c r="LOK60" s="250"/>
      <c r="LOL60" s="250"/>
      <c r="LOM60" s="250"/>
      <c r="LON60" s="250"/>
      <c r="LOO60" s="250"/>
      <c r="LOP60" s="250"/>
      <c r="LOQ60" s="250"/>
      <c r="LOR60" s="250"/>
      <c r="LOS60" s="250"/>
      <c r="LOT60" s="250"/>
      <c r="LOU60" s="250"/>
      <c r="LOV60" s="250"/>
      <c r="LOW60" s="250"/>
      <c r="LOX60" s="250"/>
      <c r="LOY60" s="250"/>
      <c r="LOZ60" s="250"/>
      <c r="LPA60" s="250"/>
      <c r="LPB60" s="250"/>
      <c r="LPC60" s="250"/>
      <c r="LPD60" s="250"/>
      <c r="LPE60" s="250"/>
      <c r="LPF60" s="250"/>
      <c r="LPG60" s="250"/>
      <c r="LPH60" s="250"/>
      <c r="LPI60" s="250"/>
      <c r="LPJ60" s="250"/>
      <c r="LPK60" s="250"/>
      <c r="LPL60" s="250"/>
      <c r="LPM60" s="250"/>
      <c r="LPN60" s="250"/>
      <c r="LPO60" s="250"/>
      <c r="LPP60" s="250"/>
      <c r="LPQ60" s="250"/>
      <c r="LPR60" s="250"/>
      <c r="LPS60" s="250"/>
      <c r="LPT60" s="250"/>
      <c r="LPU60" s="250"/>
      <c r="LPV60" s="250"/>
      <c r="LPW60" s="250"/>
      <c r="LPX60" s="250"/>
      <c r="LPY60" s="250"/>
      <c r="LPZ60" s="250"/>
      <c r="LQA60" s="250"/>
      <c r="LQB60" s="250"/>
      <c r="LQC60" s="250"/>
      <c r="LQD60" s="250"/>
      <c r="LQE60" s="250"/>
      <c r="LQF60" s="250"/>
      <c r="LQG60" s="250"/>
      <c r="LQH60" s="250"/>
      <c r="LQI60" s="250"/>
      <c r="LQJ60" s="250"/>
      <c r="LQK60" s="250"/>
      <c r="LQL60" s="250"/>
      <c r="LQM60" s="250"/>
      <c r="LQN60" s="250"/>
      <c r="LQO60" s="250"/>
      <c r="LQP60" s="250"/>
      <c r="LQQ60" s="250"/>
      <c r="LQR60" s="250"/>
      <c r="LQS60" s="250"/>
      <c r="LQT60" s="250"/>
      <c r="LQU60" s="250"/>
      <c r="LQV60" s="250"/>
      <c r="LQW60" s="250"/>
      <c r="LQX60" s="250"/>
      <c r="LQY60" s="250"/>
      <c r="LQZ60" s="250"/>
      <c r="LRA60" s="250"/>
      <c r="LRB60" s="250"/>
      <c r="LRC60" s="250"/>
      <c r="LRD60" s="250"/>
      <c r="LRE60" s="250"/>
      <c r="LRF60" s="250"/>
      <c r="LRG60" s="250"/>
      <c r="LRH60" s="250"/>
      <c r="LRI60" s="250"/>
      <c r="LRJ60" s="250"/>
      <c r="LRK60" s="250"/>
      <c r="LRL60" s="250"/>
      <c r="LRM60" s="250"/>
      <c r="LRN60" s="250"/>
      <c r="LRO60" s="250"/>
      <c r="LRP60" s="250"/>
      <c r="LRQ60" s="250"/>
      <c r="LRR60" s="250"/>
      <c r="LRS60" s="250"/>
      <c r="LRT60" s="250"/>
      <c r="LRU60" s="250"/>
      <c r="LRV60" s="250"/>
      <c r="LRW60" s="250"/>
      <c r="LRX60" s="250"/>
      <c r="LRY60" s="250"/>
      <c r="LRZ60" s="250"/>
      <c r="LSA60" s="250"/>
      <c r="LSB60" s="250"/>
      <c r="LSC60" s="250"/>
      <c r="LSD60" s="250"/>
      <c r="LSE60" s="250"/>
      <c r="LSF60" s="250"/>
      <c r="LSG60" s="250"/>
      <c r="LSH60" s="250"/>
      <c r="LSI60" s="250"/>
      <c r="LSJ60" s="250"/>
      <c r="LSK60" s="250"/>
      <c r="LSL60" s="250"/>
      <c r="LSM60" s="250"/>
      <c r="LSN60" s="250"/>
      <c r="LSO60" s="250"/>
      <c r="LSP60" s="250"/>
      <c r="LSQ60" s="250"/>
      <c r="LSR60" s="250"/>
      <c r="LSS60" s="250"/>
      <c r="LST60" s="250"/>
      <c r="LSU60" s="250"/>
      <c r="LSV60" s="250"/>
      <c r="LSW60" s="250"/>
      <c r="LSX60" s="250"/>
      <c r="LSY60" s="250"/>
      <c r="LSZ60" s="250"/>
      <c r="LTA60" s="250"/>
      <c r="LTB60" s="250"/>
      <c r="LTC60" s="250"/>
      <c r="LTD60" s="250"/>
      <c r="LTE60" s="250"/>
      <c r="LTF60" s="250"/>
      <c r="LTG60" s="250"/>
      <c r="LTH60" s="250"/>
      <c r="LTI60" s="250"/>
      <c r="LTJ60" s="250"/>
      <c r="LTK60" s="250"/>
      <c r="LTL60" s="250"/>
      <c r="LTM60" s="250"/>
      <c r="LTN60" s="250"/>
      <c r="LTO60" s="250"/>
      <c r="LTP60" s="250"/>
      <c r="LTQ60" s="250"/>
      <c r="LTR60" s="250"/>
      <c r="LTS60" s="250"/>
      <c r="LTT60" s="250"/>
      <c r="LTU60" s="250"/>
      <c r="LTV60" s="250"/>
      <c r="LTW60" s="250"/>
      <c r="LTX60" s="250"/>
      <c r="LTY60" s="250"/>
      <c r="LTZ60" s="250"/>
      <c r="LUA60" s="250"/>
      <c r="LUB60" s="250"/>
      <c r="LUC60" s="250"/>
      <c r="LUD60" s="250"/>
      <c r="LUE60" s="250"/>
      <c r="LUF60" s="250"/>
      <c r="LUG60" s="250"/>
      <c r="LUH60" s="250"/>
      <c r="LUI60" s="250"/>
      <c r="LUJ60" s="250"/>
      <c r="LUK60" s="250"/>
      <c r="LUL60" s="250"/>
      <c r="LUM60" s="250"/>
      <c r="LUN60" s="250"/>
      <c r="LUO60" s="250"/>
      <c r="LUP60" s="250"/>
      <c r="LUQ60" s="250"/>
      <c r="LUR60" s="250"/>
      <c r="LUS60" s="250"/>
      <c r="LUT60" s="250"/>
      <c r="LUU60" s="250"/>
      <c r="LUV60" s="250"/>
      <c r="LUW60" s="250"/>
      <c r="LUX60" s="250"/>
      <c r="LUY60" s="250"/>
      <c r="LUZ60" s="250"/>
      <c r="LVA60" s="250"/>
      <c r="LVB60" s="250"/>
      <c r="LVC60" s="250"/>
      <c r="LVD60" s="250"/>
      <c r="LVE60" s="250"/>
      <c r="LVF60" s="250"/>
      <c r="LVG60" s="250"/>
      <c r="LVH60" s="250"/>
      <c r="LVI60" s="250"/>
      <c r="LVJ60" s="250"/>
      <c r="LVK60" s="250"/>
      <c r="LVL60" s="250"/>
      <c r="LVM60" s="250"/>
      <c r="LVN60" s="250"/>
      <c r="LVO60" s="250"/>
      <c r="LVP60" s="250"/>
      <c r="LVQ60" s="250"/>
      <c r="LVR60" s="250"/>
      <c r="LVS60" s="250"/>
      <c r="LVT60" s="250"/>
      <c r="LVU60" s="250"/>
      <c r="LVV60" s="250"/>
      <c r="LVW60" s="250"/>
      <c r="LVX60" s="250"/>
      <c r="LVY60" s="250"/>
      <c r="LVZ60" s="250"/>
      <c r="LWA60" s="250"/>
      <c r="LWB60" s="250"/>
      <c r="LWC60" s="250"/>
      <c r="LWD60" s="250"/>
      <c r="LWE60" s="250"/>
      <c r="LWF60" s="250"/>
      <c r="LWG60" s="250"/>
      <c r="LWH60" s="250"/>
      <c r="LWI60" s="250"/>
      <c r="LWJ60" s="250"/>
      <c r="LWK60" s="250"/>
      <c r="LWL60" s="250"/>
      <c r="LWM60" s="250"/>
      <c r="LWN60" s="250"/>
      <c r="LWO60" s="250"/>
      <c r="LWP60" s="250"/>
      <c r="LWQ60" s="250"/>
      <c r="LWR60" s="250"/>
      <c r="LWS60" s="250"/>
      <c r="LWT60" s="250"/>
      <c r="LWU60" s="250"/>
      <c r="LWV60" s="250"/>
      <c r="LWW60" s="250"/>
      <c r="LWX60" s="250"/>
      <c r="LWY60" s="250"/>
      <c r="LWZ60" s="250"/>
      <c r="LXA60" s="250"/>
      <c r="LXB60" s="250"/>
      <c r="LXC60" s="250"/>
      <c r="LXD60" s="250"/>
      <c r="LXE60" s="250"/>
      <c r="LXF60" s="250"/>
      <c r="LXG60" s="250"/>
      <c r="LXH60" s="250"/>
      <c r="LXI60" s="250"/>
      <c r="LXJ60" s="250"/>
      <c r="LXK60" s="250"/>
      <c r="LXL60" s="250"/>
      <c r="LXM60" s="250"/>
      <c r="LXN60" s="250"/>
      <c r="LXO60" s="250"/>
      <c r="LXP60" s="250"/>
      <c r="LXQ60" s="250"/>
      <c r="LXR60" s="250"/>
      <c r="LXS60" s="250"/>
      <c r="LXT60" s="250"/>
      <c r="LXU60" s="250"/>
      <c r="LXV60" s="250"/>
      <c r="LXW60" s="250"/>
      <c r="LXX60" s="250"/>
      <c r="LXY60" s="250"/>
      <c r="LXZ60" s="250"/>
      <c r="LYA60" s="250"/>
      <c r="LYB60" s="250"/>
      <c r="LYC60" s="250"/>
      <c r="LYD60" s="250"/>
      <c r="LYE60" s="250"/>
      <c r="LYF60" s="250"/>
      <c r="LYG60" s="250"/>
      <c r="LYH60" s="250"/>
      <c r="LYI60" s="250"/>
      <c r="LYJ60" s="250"/>
      <c r="LYK60" s="250"/>
      <c r="LYL60" s="250"/>
      <c r="LYM60" s="250"/>
      <c r="LYN60" s="250"/>
      <c r="LYO60" s="250"/>
      <c r="LYP60" s="250"/>
      <c r="LYQ60" s="250"/>
      <c r="LYR60" s="250"/>
      <c r="LYS60" s="250"/>
      <c r="LYT60" s="250"/>
      <c r="LYU60" s="250"/>
      <c r="LYV60" s="250"/>
      <c r="LYW60" s="250"/>
      <c r="LYX60" s="250"/>
      <c r="LYY60" s="250"/>
      <c r="LYZ60" s="250"/>
      <c r="LZA60" s="250"/>
      <c r="LZB60" s="250"/>
      <c r="LZC60" s="250"/>
      <c r="LZD60" s="250"/>
      <c r="LZE60" s="250"/>
      <c r="LZF60" s="250"/>
      <c r="LZG60" s="250"/>
      <c r="LZH60" s="250"/>
      <c r="LZI60" s="250"/>
      <c r="LZJ60" s="250"/>
      <c r="LZK60" s="250"/>
      <c r="LZL60" s="250"/>
      <c r="LZM60" s="250"/>
      <c r="LZN60" s="250"/>
      <c r="LZO60" s="250"/>
      <c r="LZP60" s="250"/>
      <c r="LZQ60" s="250"/>
      <c r="LZR60" s="250"/>
      <c r="LZS60" s="250"/>
      <c r="LZT60" s="250"/>
      <c r="LZU60" s="250"/>
      <c r="LZV60" s="250"/>
      <c r="LZW60" s="250"/>
      <c r="LZX60" s="250"/>
      <c r="LZY60" s="250"/>
      <c r="LZZ60" s="250"/>
      <c r="MAA60" s="250"/>
      <c r="MAB60" s="250"/>
      <c r="MAC60" s="250"/>
      <c r="MAD60" s="250"/>
      <c r="MAE60" s="250"/>
      <c r="MAF60" s="250"/>
      <c r="MAG60" s="250"/>
      <c r="MAH60" s="250"/>
      <c r="MAI60" s="250"/>
      <c r="MAJ60" s="250"/>
      <c r="MAK60" s="250"/>
      <c r="MAL60" s="250"/>
      <c r="MAM60" s="250"/>
      <c r="MAN60" s="250"/>
      <c r="MAO60" s="250"/>
      <c r="MAP60" s="250"/>
      <c r="MAQ60" s="250"/>
      <c r="MAR60" s="250"/>
      <c r="MAS60" s="250"/>
      <c r="MAT60" s="250"/>
      <c r="MAU60" s="250"/>
      <c r="MAV60" s="250"/>
      <c r="MAW60" s="250"/>
      <c r="MAX60" s="250"/>
      <c r="MAY60" s="250"/>
      <c r="MAZ60" s="250"/>
      <c r="MBA60" s="250"/>
      <c r="MBB60" s="250"/>
      <c r="MBC60" s="250"/>
      <c r="MBD60" s="250"/>
      <c r="MBE60" s="250"/>
      <c r="MBF60" s="250"/>
      <c r="MBG60" s="250"/>
      <c r="MBH60" s="250"/>
      <c r="MBI60" s="250"/>
      <c r="MBJ60" s="250"/>
      <c r="MBK60" s="250"/>
      <c r="MBL60" s="250"/>
      <c r="MBM60" s="250"/>
      <c r="MBN60" s="250"/>
      <c r="MBO60" s="250"/>
      <c r="MBP60" s="250"/>
      <c r="MBQ60" s="250"/>
      <c r="MBR60" s="250"/>
      <c r="MBS60" s="250"/>
      <c r="MBT60" s="250"/>
      <c r="MBU60" s="250"/>
      <c r="MBV60" s="250"/>
      <c r="MBW60" s="250"/>
      <c r="MBX60" s="250"/>
      <c r="MBY60" s="250"/>
      <c r="MBZ60" s="250"/>
      <c r="MCA60" s="250"/>
      <c r="MCB60" s="250"/>
      <c r="MCC60" s="250"/>
      <c r="MCD60" s="250"/>
      <c r="MCE60" s="250"/>
      <c r="MCF60" s="250"/>
      <c r="MCG60" s="250"/>
      <c r="MCH60" s="250"/>
      <c r="MCI60" s="250"/>
      <c r="MCJ60" s="250"/>
      <c r="MCK60" s="250"/>
      <c r="MCL60" s="250"/>
      <c r="MCM60" s="250"/>
      <c r="MCN60" s="250"/>
      <c r="MCO60" s="250"/>
      <c r="MCP60" s="250"/>
      <c r="MCQ60" s="250"/>
      <c r="MCR60" s="250"/>
      <c r="MCS60" s="250"/>
      <c r="MCT60" s="250"/>
      <c r="MCU60" s="250"/>
      <c r="MCV60" s="250"/>
      <c r="MCW60" s="250"/>
      <c r="MCX60" s="250"/>
      <c r="MCY60" s="250"/>
      <c r="MCZ60" s="250"/>
      <c r="MDA60" s="250"/>
      <c r="MDB60" s="250"/>
      <c r="MDC60" s="250"/>
      <c r="MDD60" s="250"/>
      <c r="MDE60" s="250"/>
      <c r="MDF60" s="250"/>
      <c r="MDG60" s="250"/>
      <c r="MDH60" s="250"/>
      <c r="MDI60" s="250"/>
      <c r="MDJ60" s="250"/>
      <c r="MDK60" s="250"/>
      <c r="MDL60" s="250"/>
      <c r="MDM60" s="250"/>
      <c r="MDN60" s="250"/>
      <c r="MDO60" s="250"/>
      <c r="MDP60" s="250"/>
      <c r="MDQ60" s="250"/>
      <c r="MDR60" s="250"/>
      <c r="MDS60" s="250"/>
      <c r="MDT60" s="250"/>
      <c r="MDU60" s="250"/>
      <c r="MDV60" s="250"/>
      <c r="MDW60" s="250"/>
      <c r="MDX60" s="250"/>
      <c r="MDY60" s="250"/>
      <c r="MDZ60" s="250"/>
      <c r="MEA60" s="250"/>
      <c r="MEB60" s="250"/>
      <c r="MEC60" s="250"/>
      <c r="MED60" s="250"/>
      <c r="MEE60" s="250"/>
      <c r="MEF60" s="250"/>
      <c r="MEG60" s="250"/>
      <c r="MEH60" s="250"/>
      <c r="MEI60" s="250"/>
      <c r="MEJ60" s="250"/>
      <c r="MEK60" s="250"/>
      <c r="MEL60" s="250"/>
      <c r="MEM60" s="250"/>
      <c r="MEN60" s="250"/>
      <c r="MEO60" s="250"/>
      <c r="MEP60" s="250"/>
      <c r="MEQ60" s="250"/>
      <c r="MER60" s="250"/>
      <c r="MES60" s="250"/>
      <c r="MET60" s="250"/>
      <c r="MEU60" s="250"/>
      <c r="MEV60" s="250"/>
      <c r="MEW60" s="250"/>
      <c r="MEX60" s="250"/>
      <c r="MEY60" s="250"/>
      <c r="MEZ60" s="250"/>
      <c r="MFA60" s="250"/>
      <c r="MFB60" s="250"/>
      <c r="MFC60" s="250"/>
      <c r="MFD60" s="250"/>
      <c r="MFE60" s="250"/>
      <c r="MFF60" s="250"/>
      <c r="MFG60" s="250"/>
      <c r="MFH60" s="250"/>
      <c r="MFI60" s="250"/>
      <c r="MFJ60" s="250"/>
      <c r="MFK60" s="250"/>
      <c r="MFL60" s="250"/>
      <c r="MFM60" s="250"/>
      <c r="MFN60" s="250"/>
      <c r="MFO60" s="250"/>
      <c r="MFP60" s="250"/>
      <c r="MFQ60" s="250"/>
      <c r="MFR60" s="250"/>
      <c r="MFS60" s="250"/>
      <c r="MFT60" s="250"/>
      <c r="MFU60" s="250"/>
      <c r="MFV60" s="250"/>
      <c r="MFW60" s="250"/>
      <c r="MFX60" s="250"/>
      <c r="MFY60" s="250"/>
      <c r="MFZ60" s="250"/>
      <c r="MGA60" s="250"/>
      <c r="MGB60" s="250"/>
      <c r="MGC60" s="250"/>
      <c r="MGD60" s="250"/>
      <c r="MGE60" s="250"/>
      <c r="MGF60" s="250"/>
      <c r="MGG60" s="250"/>
      <c r="MGH60" s="250"/>
      <c r="MGI60" s="250"/>
      <c r="MGJ60" s="250"/>
      <c r="MGK60" s="250"/>
      <c r="MGL60" s="250"/>
      <c r="MGM60" s="250"/>
      <c r="MGN60" s="250"/>
      <c r="MGO60" s="250"/>
      <c r="MGP60" s="250"/>
      <c r="MGQ60" s="250"/>
      <c r="MGR60" s="250"/>
      <c r="MGS60" s="250"/>
      <c r="MGT60" s="250"/>
      <c r="MGU60" s="250"/>
      <c r="MGV60" s="250"/>
      <c r="MGW60" s="250"/>
      <c r="MGX60" s="250"/>
      <c r="MGY60" s="250"/>
      <c r="MGZ60" s="250"/>
      <c r="MHA60" s="250"/>
      <c r="MHB60" s="250"/>
      <c r="MHC60" s="250"/>
      <c r="MHD60" s="250"/>
      <c r="MHE60" s="250"/>
      <c r="MHF60" s="250"/>
      <c r="MHG60" s="250"/>
      <c r="MHH60" s="250"/>
      <c r="MHI60" s="250"/>
      <c r="MHJ60" s="250"/>
      <c r="MHK60" s="250"/>
      <c r="MHL60" s="250"/>
      <c r="MHM60" s="250"/>
      <c r="MHN60" s="250"/>
      <c r="MHO60" s="250"/>
      <c r="MHP60" s="250"/>
      <c r="MHQ60" s="250"/>
      <c r="MHR60" s="250"/>
      <c r="MHS60" s="250"/>
      <c r="MHT60" s="250"/>
      <c r="MHU60" s="250"/>
      <c r="MHV60" s="250"/>
      <c r="MHW60" s="250"/>
      <c r="MHX60" s="250"/>
      <c r="MHY60" s="250"/>
      <c r="MHZ60" s="250"/>
      <c r="MIA60" s="250"/>
      <c r="MIB60" s="250"/>
      <c r="MIC60" s="250"/>
      <c r="MID60" s="250"/>
      <c r="MIE60" s="250"/>
      <c r="MIF60" s="250"/>
      <c r="MIG60" s="250"/>
      <c r="MIH60" s="250"/>
      <c r="MII60" s="250"/>
      <c r="MIJ60" s="250"/>
      <c r="MIK60" s="250"/>
      <c r="MIL60" s="250"/>
      <c r="MIM60" s="250"/>
      <c r="MIN60" s="250"/>
      <c r="MIO60" s="250"/>
      <c r="MIP60" s="250"/>
      <c r="MIQ60" s="250"/>
      <c r="MIR60" s="250"/>
      <c r="MIS60" s="250"/>
      <c r="MIT60" s="250"/>
      <c r="MIU60" s="250"/>
      <c r="MIV60" s="250"/>
      <c r="MIW60" s="250"/>
      <c r="MIX60" s="250"/>
      <c r="MIY60" s="250"/>
      <c r="MIZ60" s="250"/>
      <c r="MJA60" s="250"/>
      <c r="MJB60" s="250"/>
      <c r="MJC60" s="250"/>
      <c r="MJD60" s="250"/>
      <c r="MJE60" s="250"/>
      <c r="MJF60" s="250"/>
      <c r="MJG60" s="250"/>
      <c r="MJH60" s="250"/>
      <c r="MJI60" s="250"/>
      <c r="MJJ60" s="250"/>
      <c r="MJK60" s="250"/>
      <c r="MJL60" s="250"/>
      <c r="MJM60" s="250"/>
      <c r="MJN60" s="250"/>
      <c r="MJO60" s="250"/>
      <c r="MJP60" s="250"/>
      <c r="MJQ60" s="250"/>
      <c r="MJR60" s="250"/>
      <c r="MJS60" s="250"/>
      <c r="MJT60" s="250"/>
      <c r="MJU60" s="250"/>
      <c r="MJV60" s="250"/>
      <c r="MJW60" s="250"/>
      <c r="MJX60" s="250"/>
      <c r="MJY60" s="250"/>
      <c r="MJZ60" s="250"/>
      <c r="MKA60" s="250"/>
      <c r="MKB60" s="250"/>
      <c r="MKC60" s="250"/>
      <c r="MKD60" s="250"/>
      <c r="MKE60" s="250"/>
      <c r="MKF60" s="250"/>
      <c r="MKG60" s="250"/>
      <c r="MKH60" s="250"/>
      <c r="MKI60" s="250"/>
      <c r="MKJ60" s="250"/>
      <c r="MKK60" s="250"/>
      <c r="MKL60" s="250"/>
      <c r="MKM60" s="250"/>
      <c r="MKN60" s="250"/>
      <c r="MKO60" s="250"/>
      <c r="MKP60" s="250"/>
      <c r="MKQ60" s="250"/>
      <c r="MKR60" s="250"/>
      <c r="MKS60" s="250"/>
      <c r="MKT60" s="250"/>
      <c r="MKU60" s="250"/>
      <c r="MKV60" s="250"/>
      <c r="MKW60" s="250"/>
      <c r="MKX60" s="250"/>
      <c r="MKY60" s="250"/>
      <c r="MKZ60" s="250"/>
      <c r="MLA60" s="250"/>
      <c r="MLB60" s="250"/>
      <c r="MLC60" s="250"/>
      <c r="MLD60" s="250"/>
      <c r="MLE60" s="250"/>
      <c r="MLF60" s="250"/>
      <c r="MLG60" s="250"/>
      <c r="MLH60" s="250"/>
      <c r="MLI60" s="250"/>
      <c r="MLJ60" s="250"/>
      <c r="MLK60" s="250"/>
      <c r="MLL60" s="250"/>
      <c r="MLM60" s="250"/>
      <c r="MLN60" s="250"/>
      <c r="MLO60" s="250"/>
      <c r="MLP60" s="250"/>
      <c r="MLQ60" s="250"/>
      <c r="MLR60" s="250"/>
      <c r="MLS60" s="250"/>
      <c r="MLT60" s="250"/>
      <c r="MLU60" s="250"/>
      <c r="MLV60" s="250"/>
      <c r="MLW60" s="250"/>
      <c r="MLX60" s="250"/>
      <c r="MLY60" s="250"/>
      <c r="MLZ60" s="250"/>
      <c r="MMA60" s="250"/>
      <c r="MMB60" s="250"/>
      <c r="MMC60" s="250"/>
      <c r="MMD60" s="250"/>
      <c r="MME60" s="250"/>
      <c r="MMF60" s="250"/>
      <c r="MMG60" s="250"/>
      <c r="MMH60" s="250"/>
      <c r="MMI60" s="250"/>
      <c r="MMJ60" s="250"/>
      <c r="MMK60" s="250"/>
      <c r="MML60" s="250"/>
      <c r="MMM60" s="250"/>
      <c r="MMN60" s="250"/>
      <c r="MMO60" s="250"/>
      <c r="MMP60" s="250"/>
      <c r="MMQ60" s="250"/>
      <c r="MMR60" s="250"/>
      <c r="MMS60" s="250"/>
      <c r="MMT60" s="250"/>
      <c r="MMU60" s="250"/>
      <c r="MMV60" s="250"/>
      <c r="MMW60" s="250"/>
      <c r="MMX60" s="250"/>
      <c r="MMY60" s="250"/>
      <c r="MMZ60" s="250"/>
      <c r="MNA60" s="250"/>
      <c r="MNB60" s="250"/>
      <c r="MNC60" s="250"/>
      <c r="MND60" s="250"/>
      <c r="MNE60" s="250"/>
      <c r="MNF60" s="250"/>
      <c r="MNG60" s="250"/>
      <c r="MNH60" s="250"/>
      <c r="MNI60" s="250"/>
      <c r="MNJ60" s="250"/>
      <c r="MNK60" s="250"/>
      <c r="MNL60" s="250"/>
      <c r="MNM60" s="250"/>
      <c r="MNN60" s="250"/>
      <c r="MNO60" s="250"/>
      <c r="MNP60" s="250"/>
      <c r="MNQ60" s="250"/>
      <c r="MNR60" s="250"/>
      <c r="MNS60" s="250"/>
      <c r="MNT60" s="250"/>
      <c r="MNU60" s="250"/>
      <c r="MNV60" s="250"/>
      <c r="MNW60" s="250"/>
      <c r="MNX60" s="250"/>
      <c r="MNY60" s="250"/>
      <c r="MNZ60" s="250"/>
      <c r="MOA60" s="250"/>
      <c r="MOB60" s="250"/>
      <c r="MOC60" s="250"/>
      <c r="MOD60" s="250"/>
      <c r="MOE60" s="250"/>
      <c r="MOF60" s="250"/>
      <c r="MOG60" s="250"/>
      <c r="MOH60" s="250"/>
      <c r="MOI60" s="250"/>
      <c r="MOJ60" s="250"/>
      <c r="MOK60" s="250"/>
      <c r="MOL60" s="250"/>
      <c r="MOM60" s="250"/>
      <c r="MON60" s="250"/>
      <c r="MOO60" s="250"/>
      <c r="MOP60" s="250"/>
      <c r="MOQ60" s="250"/>
      <c r="MOR60" s="250"/>
      <c r="MOS60" s="250"/>
      <c r="MOT60" s="250"/>
      <c r="MOU60" s="250"/>
      <c r="MOV60" s="250"/>
      <c r="MOW60" s="250"/>
      <c r="MOX60" s="250"/>
      <c r="MOY60" s="250"/>
      <c r="MOZ60" s="250"/>
      <c r="MPA60" s="250"/>
      <c r="MPB60" s="250"/>
      <c r="MPC60" s="250"/>
      <c r="MPD60" s="250"/>
      <c r="MPE60" s="250"/>
      <c r="MPF60" s="250"/>
      <c r="MPG60" s="250"/>
      <c r="MPH60" s="250"/>
      <c r="MPI60" s="250"/>
      <c r="MPJ60" s="250"/>
      <c r="MPK60" s="250"/>
      <c r="MPL60" s="250"/>
      <c r="MPM60" s="250"/>
      <c r="MPN60" s="250"/>
      <c r="MPO60" s="250"/>
      <c r="MPP60" s="250"/>
      <c r="MPQ60" s="250"/>
      <c r="MPR60" s="250"/>
      <c r="MPS60" s="250"/>
      <c r="MPT60" s="250"/>
      <c r="MPU60" s="250"/>
      <c r="MPV60" s="250"/>
      <c r="MPW60" s="250"/>
      <c r="MPX60" s="250"/>
      <c r="MPY60" s="250"/>
      <c r="MPZ60" s="250"/>
      <c r="MQA60" s="250"/>
      <c r="MQB60" s="250"/>
      <c r="MQC60" s="250"/>
      <c r="MQD60" s="250"/>
      <c r="MQE60" s="250"/>
      <c r="MQF60" s="250"/>
      <c r="MQG60" s="250"/>
      <c r="MQH60" s="250"/>
      <c r="MQI60" s="250"/>
      <c r="MQJ60" s="250"/>
      <c r="MQK60" s="250"/>
      <c r="MQL60" s="250"/>
      <c r="MQM60" s="250"/>
      <c r="MQN60" s="250"/>
      <c r="MQO60" s="250"/>
      <c r="MQP60" s="250"/>
      <c r="MQQ60" s="250"/>
      <c r="MQR60" s="250"/>
      <c r="MQS60" s="250"/>
      <c r="MQT60" s="250"/>
      <c r="MQU60" s="250"/>
      <c r="MQV60" s="250"/>
      <c r="MQW60" s="250"/>
      <c r="MQX60" s="250"/>
      <c r="MQY60" s="250"/>
      <c r="MQZ60" s="250"/>
      <c r="MRA60" s="250"/>
      <c r="MRB60" s="250"/>
      <c r="MRC60" s="250"/>
      <c r="MRD60" s="250"/>
      <c r="MRE60" s="250"/>
      <c r="MRF60" s="250"/>
      <c r="MRG60" s="250"/>
      <c r="MRH60" s="250"/>
      <c r="MRI60" s="250"/>
      <c r="MRJ60" s="250"/>
      <c r="MRK60" s="250"/>
      <c r="MRL60" s="250"/>
      <c r="MRM60" s="250"/>
      <c r="MRN60" s="250"/>
      <c r="MRO60" s="250"/>
      <c r="MRP60" s="250"/>
      <c r="MRQ60" s="250"/>
      <c r="MRR60" s="250"/>
      <c r="MRS60" s="250"/>
      <c r="MRT60" s="250"/>
      <c r="MRU60" s="250"/>
      <c r="MRV60" s="250"/>
      <c r="MRW60" s="250"/>
      <c r="MRX60" s="250"/>
      <c r="MRY60" s="250"/>
      <c r="MRZ60" s="250"/>
      <c r="MSA60" s="250"/>
      <c r="MSB60" s="250"/>
      <c r="MSC60" s="250"/>
      <c r="MSD60" s="250"/>
      <c r="MSE60" s="250"/>
      <c r="MSF60" s="250"/>
      <c r="MSG60" s="250"/>
      <c r="MSH60" s="250"/>
      <c r="MSI60" s="250"/>
      <c r="MSJ60" s="250"/>
      <c r="MSK60" s="250"/>
      <c r="MSL60" s="250"/>
      <c r="MSM60" s="250"/>
      <c r="MSN60" s="250"/>
      <c r="MSO60" s="250"/>
      <c r="MSP60" s="250"/>
      <c r="MSQ60" s="250"/>
      <c r="MSR60" s="250"/>
      <c r="MSS60" s="250"/>
      <c r="MST60" s="250"/>
      <c r="MSU60" s="250"/>
      <c r="MSV60" s="250"/>
      <c r="MSW60" s="250"/>
      <c r="MSX60" s="250"/>
      <c r="MSY60" s="250"/>
      <c r="MSZ60" s="250"/>
      <c r="MTA60" s="250"/>
      <c r="MTB60" s="250"/>
      <c r="MTC60" s="250"/>
      <c r="MTD60" s="250"/>
      <c r="MTE60" s="250"/>
      <c r="MTF60" s="250"/>
      <c r="MTG60" s="250"/>
      <c r="MTH60" s="250"/>
      <c r="MTI60" s="250"/>
      <c r="MTJ60" s="250"/>
      <c r="MTK60" s="250"/>
      <c r="MTL60" s="250"/>
      <c r="MTM60" s="250"/>
      <c r="MTN60" s="250"/>
      <c r="MTO60" s="250"/>
      <c r="MTP60" s="250"/>
      <c r="MTQ60" s="250"/>
      <c r="MTR60" s="250"/>
      <c r="MTS60" s="250"/>
      <c r="MTT60" s="250"/>
      <c r="MTU60" s="250"/>
      <c r="MTV60" s="250"/>
      <c r="MTW60" s="250"/>
      <c r="MTX60" s="250"/>
      <c r="MTY60" s="250"/>
      <c r="MTZ60" s="250"/>
      <c r="MUA60" s="250"/>
      <c r="MUB60" s="250"/>
      <c r="MUC60" s="250"/>
      <c r="MUD60" s="250"/>
      <c r="MUE60" s="250"/>
      <c r="MUF60" s="250"/>
      <c r="MUG60" s="250"/>
      <c r="MUH60" s="250"/>
      <c r="MUI60" s="250"/>
      <c r="MUJ60" s="250"/>
      <c r="MUK60" s="250"/>
      <c r="MUL60" s="250"/>
      <c r="MUM60" s="250"/>
      <c r="MUN60" s="250"/>
      <c r="MUO60" s="250"/>
      <c r="MUP60" s="250"/>
      <c r="MUQ60" s="250"/>
      <c r="MUR60" s="250"/>
      <c r="MUS60" s="250"/>
      <c r="MUT60" s="250"/>
      <c r="MUU60" s="250"/>
      <c r="MUV60" s="250"/>
      <c r="MUW60" s="250"/>
      <c r="MUX60" s="250"/>
      <c r="MUY60" s="250"/>
      <c r="MUZ60" s="250"/>
      <c r="MVA60" s="250"/>
      <c r="MVB60" s="250"/>
      <c r="MVC60" s="250"/>
      <c r="MVD60" s="250"/>
      <c r="MVE60" s="250"/>
      <c r="MVF60" s="250"/>
      <c r="MVG60" s="250"/>
      <c r="MVH60" s="250"/>
      <c r="MVI60" s="250"/>
      <c r="MVJ60" s="250"/>
      <c r="MVK60" s="250"/>
      <c r="MVL60" s="250"/>
      <c r="MVM60" s="250"/>
      <c r="MVN60" s="250"/>
      <c r="MVO60" s="250"/>
      <c r="MVP60" s="250"/>
      <c r="MVQ60" s="250"/>
      <c r="MVR60" s="250"/>
      <c r="MVS60" s="250"/>
      <c r="MVT60" s="250"/>
      <c r="MVU60" s="250"/>
      <c r="MVV60" s="250"/>
      <c r="MVW60" s="250"/>
      <c r="MVX60" s="250"/>
      <c r="MVY60" s="250"/>
      <c r="MVZ60" s="250"/>
      <c r="MWA60" s="250"/>
      <c r="MWB60" s="250"/>
      <c r="MWC60" s="250"/>
      <c r="MWD60" s="250"/>
      <c r="MWE60" s="250"/>
      <c r="MWF60" s="250"/>
      <c r="MWG60" s="250"/>
      <c r="MWH60" s="250"/>
      <c r="MWI60" s="250"/>
      <c r="MWJ60" s="250"/>
      <c r="MWK60" s="250"/>
      <c r="MWL60" s="250"/>
      <c r="MWM60" s="250"/>
      <c r="MWN60" s="250"/>
      <c r="MWO60" s="250"/>
      <c r="MWP60" s="250"/>
      <c r="MWQ60" s="250"/>
      <c r="MWR60" s="250"/>
      <c r="MWS60" s="250"/>
      <c r="MWT60" s="250"/>
      <c r="MWU60" s="250"/>
      <c r="MWV60" s="250"/>
      <c r="MWW60" s="250"/>
      <c r="MWX60" s="250"/>
      <c r="MWY60" s="250"/>
      <c r="MWZ60" s="250"/>
      <c r="MXA60" s="250"/>
      <c r="MXB60" s="250"/>
      <c r="MXC60" s="250"/>
      <c r="MXD60" s="250"/>
      <c r="MXE60" s="250"/>
      <c r="MXF60" s="250"/>
      <c r="MXG60" s="250"/>
      <c r="MXH60" s="250"/>
      <c r="MXI60" s="250"/>
      <c r="MXJ60" s="250"/>
      <c r="MXK60" s="250"/>
      <c r="MXL60" s="250"/>
      <c r="MXM60" s="250"/>
      <c r="MXN60" s="250"/>
      <c r="MXO60" s="250"/>
      <c r="MXP60" s="250"/>
      <c r="MXQ60" s="250"/>
      <c r="MXR60" s="250"/>
      <c r="MXS60" s="250"/>
      <c r="MXT60" s="250"/>
      <c r="MXU60" s="250"/>
      <c r="MXV60" s="250"/>
      <c r="MXW60" s="250"/>
      <c r="MXX60" s="250"/>
      <c r="MXY60" s="250"/>
      <c r="MXZ60" s="250"/>
      <c r="MYA60" s="250"/>
      <c r="MYB60" s="250"/>
      <c r="MYC60" s="250"/>
      <c r="MYD60" s="250"/>
      <c r="MYE60" s="250"/>
      <c r="MYF60" s="250"/>
      <c r="MYG60" s="250"/>
      <c r="MYH60" s="250"/>
      <c r="MYI60" s="250"/>
      <c r="MYJ60" s="250"/>
      <c r="MYK60" s="250"/>
      <c r="MYL60" s="250"/>
      <c r="MYM60" s="250"/>
      <c r="MYN60" s="250"/>
      <c r="MYO60" s="250"/>
      <c r="MYP60" s="250"/>
      <c r="MYQ60" s="250"/>
      <c r="MYR60" s="250"/>
      <c r="MYS60" s="250"/>
      <c r="MYT60" s="250"/>
      <c r="MYU60" s="250"/>
      <c r="MYV60" s="250"/>
      <c r="MYW60" s="250"/>
      <c r="MYX60" s="250"/>
      <c r="MYY60" s="250"/>
      <c r="MYZ60" s="250"/>
      <c r="MZA60" s="250"/>
      <c r="MZB60" s="250"/>
      <c r="MZC60" s="250"/>
      <c r="MZD60" s="250"/>
      <c r="MZE60" s="250"/>
      <c r="MZF60" s="250"/>
      <c r="MZG60" s="250"/>
      <c r="MZH60" s="250"/>
      <c r="MZI60" s="250"/>
      <c r="MZJ60" s="250"/>
      <c r="MZK60" s="250"/>
      <c r="MZL60" s="250"/>
      <c r="MZM60" s="250"/>
      <c r="MZN60" s="250"/>
      <c r="MZO60" s="250"/>
      <c r="MZP60" s="250"/>
      <c r="MZQ60" s="250"/>
      <c r="MZR60" s="250"/>
      <c r="MZS60" s="250"/>
      <c r="MZT60" s="250"/>
      <c r="MZU60" s="250"/>
      <c r="MZV60" s="250"/>
      <c r="MZW60" s="250"/>
      <c r="MZX60" s="250"/>
      <c r="MZY60" s="250"/>
      <c r="MZZ60" s="250"/>
      <c r="NAA60" s="250"/>
      <c r="NAB60" s="250"/>
      <c r="NAC60" s="250"/>
      <c r="NAD60" s="250"/>
      <c r="NAE60" s="250"/>
      <c r="NAF60" s="250"/>
      <c r="NAG60" s="250"/>
      <c r="NAH60" s="250"/>
      <c r="NAI60" s="250"/>
      <c r="NAJ60" s="250"/>
      <c r="NAK60" s="250"/>
      <c r="NAL60" s="250"/>
      <c r="NAM60" s="250"/>
      <c r="NAN60" s="250"/>
      <c r="NAO60" s="250"/>
      <c r="NAP60" s="250"/>
      <c r="NAQ60" s="250"/>
      <c r="NAR60" s="250"/>
      <c r="NAS60" s="250"/>
      <c r="NAT60" s="250"/>
      <c r="NAU60" s="250"/>
      <c r="NAV60" s="250"/>
      <c r="NAW60" s="250"/>
      <c r="NAX60" s="250"/>
      <c r="NAY60" s="250"/>
      <c r="NAZ60" s="250"/>
      <c r="NBA60" s="250"/>
      <c r="NBB60" s="250"/>
      <c r="NBC60" s="250"/>
      <c r="NBD60" s="250"/>
      <c r="NBE60" s="250"/>
      <c r="NBF60" s="250"/>
      <c r="NBG60" s="250"/>
      <c r="NBH60" s="250"/>
      <c r="NBI60" s="250"/>
      <c r="NBJ60" s="250"/>
      <c r="NBK60" s="250"/>
      <c r="NBL60" s="250"/>
      <c r="NBM60" s="250"/>
      <c r="NBN60" s="250"/>
      <c r="NBO60" s="250"/>
      <c r="NBP60" s="250"/>
      <c r="NBQ60" s="250"/>
      <c r="NBR60" s="250"/>
      <c r="NBS60" s="250"/>
      <c r="NBT60" s="250"/>
      <c r="NBU60" s="250"/>
      <c r="NBV60" s="250"/>
      <c r="NBW60" s="250"/>
      <c r="NBX60" s="250"/>
      <c r="NBY60" s="250"/>
      <c r="NBZ60" s="250"/>
      <c r="NCA60" s="250"/>
      <c r="NCB60" s="250"/>
      <c r="NCC60" s="250"/>
      <c r="NCD60" s="250"/>
      <c r="NCE60" s="250"/>
      <c r="NCF60" s="250"/>
      <c r="NCG60" s="250"/>
      <c r="NCH60" s="250"/>
      <c r="NCI60" s="250"/>
      <c r="NCJ60" s="250"/>
      <c r="NCK60" s="250"/>
      <c r="NCL60" s="250"/>
      <c r="NCM60" s="250"/>
      <c r="NCN60" s="250"/>
      <c r="NCO60" s="250"/>
      <c r="NCP60" s="250"/>
      <c r="NCQ60" s="250"/>
      <c r="NCR60" s="250"/>
      <c r="NCS60" s="250"/>
      <c r="NCT60" s="250"/>
      <c r="NCU60" s="250"/>
      <c r="NCV60" s="250"/>
      <c r="NCW60" s="250"/>
      <c r="NCX60" s="250"/>
      <c r="NCY60" s="250"/>
      <c r="NCZ60" s="250"/>
      <c r="NDA60" s="250"/>
      <c r="NDB60" s="250"/>
      <c r="NDC60" s="250"/>
      <c r="NDD60" s="250"/>
      <c r="NDE60" s="250"/>
      <c r="NDF60" s="250"/>
      <c r="NDG60" s="250"/>
      <c r="NDH60" s="250"/>
      <c r="NDI60" s="250"/>
      <c r="NDJ60" s="250"/>
      <c r="NDK60" s="250"/>
      <c r="NDL60" s="250"/>
      <c r="NDM60" s="250"/>
      <c r="NDN60" s="250"/>
      <c r="NDO60" s="250"/>
      <c r="NDP60" s="250"/>
      <c r="NDQ60" s="250"/>
      <c r="NDR60" s="250"/>
      <c r="NDS60" s="250"/>
      <c r="NDT60" s="250"/>
      <c r="NDU60" s="250"/>
      <c r="NDV60" s="250"/>
      <c r="NDW60" s="250"/>
      <c r="NDX60" s="250"/>
      <c r="NDY60" s="250"/>
      <c r="NDZ60" s="250"/>
      <c r="NEA60" s="250"/>
      <c r="NEB60" s="250"/>
      <c r="NEC60" s="250"/>
      <c r="NED60" s="250"/>
      <c r="NEE60" s="250"/>
      <c r="NEF60" s="250"/>
      <c r="NEG60" s="250"/>
      <c r="NEH60" s="250"/>
      <c r="NEI60" s="250"/>
      <c r="NEJ60" s="250"/>
      <c r="NEK60" s="250"/>
      <c r="NEL60" s="250"/>
      <c r="NEM60" s="250"/>
      <c r="NEN60" s="250"/>
      <c r="NEO60" s="250"/>
      <c r="NEP60" s="250"/>
      <c r="NEQ60" s="250"/>
      <c r="NER60" s="250"/>
      <c r="NES60" s="250"/>
      <c r="NET60" s="250"/>
      <c r="NEU60" s="250"/>
      <c r="NEV60" s="250"/>
      <c r="NEW60" s="250"/>
      <c r="NEX60" s="250"/>
      <c r="NEY60" s="250"/>
      <c r="NEZ60" s="250"/>
      <c r="NFA60" s="250"/>
      <c r="NFB60" s="250"/>
      <c r="NFC60" s="250"/>
      <c r="NFD60" s="250"/>
      <c r="NFE60" s="250"/>
      <c r="NFF60" s="250"/>
      <c r="NFG60" s="250"/>
      <c r="NFH60" s="250"/>
      <c r="NFI60" s="250"/>
      <c r="NFJ60" s="250"/>
      <c r="NFK60" s="250"/>
      <c r="NFL60" s="250"/>
      <c r="NFM60" s="250"/>
      <c r="NFN60" s="250"/>
      <c r="NFO60" s="250"/>
      <c r="NFP60" s="250"/>
      <c r="NFQ60" s="250"/>
      <c r="NFR60" s="250"/>
      <c r="NFS60" s="250"/>
      <c r="NFT60" s="250"/>
      <c r="NFU60" s="250"/>
      <c r="NFV60" s="250"/>
      <c r="NFW60" s="250"/>
      <c r="NFX60" s="250"/>
      <c r="NFY60" s="250"/>
      <c r="NFZ60" s="250"/>
      <c r="NGA60" s="250"/>
      <c r="NGB60" s="250"/>
      <c r="NGC60" s="250"/>
      <c r="NGD60" s="250"/>
      <c r="NGE60" s="250"/>
      <c r="NGF60" s="250"/>
      <c r="NGG60" s="250"/>
      <c r="NGH60" s="250"/>
      <c r="NGI60" s="250"/>
      <c r="NGJ60" s="250"/>
      <c r="NGK60" s="250"/>
      <c r="NGL60" s="250"/>
      <c r="NGM60" s="250"/>
      <c r="NGN60" s="250"/>
      <c r="NGO60" s="250"/>
      <c r="NGP60" s="250"/>
      <c r="NGQ60" s="250"/>
      <c r="NGR60" s="250"/>
      <c r="NGS60" s="250"/>
      <c r="NGT60" s="250"/>
      <c r="NGU60" s="250"/>
      <c r="NGV60" s="250"/>
      <c r="NGW60" s="250"/>
      <c r="NGX60" s="250"/>
      <c r="NGY60" s="250"/>
      <c r="NGZ60" s="250"/>
      <c r="NHA60" s="250"/>
      <c r="NHB60" s="250"/>
      <c r="NHC60" s="250"/>
      <c r="NHD60" s="250"/>
      <c r="NHE60" s="250"/>
      <c r="NHF60" s="250"/>
      <c r="NHG60" s="250"/>
      <c r="NHH60" s="250"/>
      <c r="NHI60" s="250"/>
      <c r="NHJ60" s="250"/>
      <c r="NHK60" s="250"/>
      <c r="NHL60" s="250"/>
      <c r="NHM60" s="250"/>
      <c r="NHN60" s="250"/>
      <c r="NHO60" s="250"/>
      <c r="NHP60" s="250"/>
      <c r="NHQ60" s="250"/>
      <c r="NHR60" s="250"/>
      <c r="NHS60" s="250"/>
      <c r="NHT60" s="250"/>
      <c r="NHU60" s="250"/>
      <c r="NHV60" s="250"/>
      <c r="NHW60" s="250"/>
      <c r="NHX60" s="250"/>
      <c r="NHY60" s="250"/>
      <c r="NHZ60" s="250"/>
      <c r="NIA60" s="250"/>
      <c r="NIB60" s="250"/>
      <c r="NIC60" s="250"/>
      <c r="NID60" s="250"/>
      <c r="NIE60" s="250"/>
      <c r="NIF60" s="250"/>
      <c r="NIG60" s="250"/>
      <c r="NIH60" s="250"/>
      <c r="NII60" s="250"/>
      <c r="NIJ60" s="250"/>
      <c r="NIK60" s="250"/>
      <c r="NIL60" s="250"/>
      <c r="NIM60" s="250"/>
      <c r="NIN60" s="250"/>
      <c r="NIO60" s="250"/>
      <c r="NIP60" s="250"/>
      <c r="NIQ60" s="250"/>
      <c r="NIR60" s="250"/>
      <c r="NIS60" s="250"/>
      <c r="NIT60" s="250"/>
      <c r="NIU60" s="250"/>
      <c r="NIV60" s="250"/>
      <c r="NIW60" s="250"/>
      <c r="NIX60" s="250"/>
      <c r="NIY60" s="250"/>
      <c r="NIZ60" s="250"/>
      <c r="NJA60" s="250"/>
      <c r="NJB60" s="250"/>
      <c r="NJC60" s="250"/>
      <c r="NJD60" s="250"/>
      <c r="NJE60" s="250"/>
      <c r="NJF60" s="250"/>
      <c r="NJG60" s="250"/>
      <c r="NJH60" s="250"/>
      <c r="NJI60" s="250"/>
      <c r="NJJ60" s="250"/>
      <c r="NJK60" s="250"/>
      <c r="NJL60" s="250"/>
      <c r="NJM60" s="250"/>
      <c r="NJN60" s="250"/>
      <c r="NJO60" s="250"/>
      <c r="NJP60" s="250"/>
      <c r="NJQ60" s="250"/>
      <c r="NJR60" s="250"/>
      <c r="NJS60" s="250"/>
      <c r="NJT60" s="250"/>
      <c r="NJU60" s="250"/>
      <c r="NJV60" s="250"/>
      <c r="NJW60" s="250"/>
      <c r="NJX60" s="250"/>
      <c r="NJY60" s="250"/>
      <c r="NJZ60" s="250"/>
      <c r="NKA60" s="250"/>
      <c r="NKB60" s="250"/>
      <c r="NKC60" s="250"/>
      <c r="NKD60" s="250"/>
      <c r="NKE60" s="250"/>
      <c r="NKF60" s="250"/>
      <c r="NKG60" s="250"/>
      <c r="NKH60" s="250"/>
      <c r="NKI60" s="250"/>
      <c r="NKJ60" s="250"/>
      <c r="NKK60" s="250"/>
      <c r="NKL60" s="250"/>
      <c r="NKM60" s="250"/>
      <c r="NKN60" s="250"/>
      <c r="NKO60" s="250"/>
      <c r="NKP60" s="250"/>
      <c r="NKQ60" s="250"/>
      <c r="NKR60" s="250"/>
      <c r="NKS60" s="250"/>
      <c r="NKT60" s="250"/>
      <c r="NKU60" s="250"/>
      <c r="NKV60" s="250"/>
      <c r="NKW60" s="250"/>
      <c r="NKX60" s="250"/>
      <c r="NKY60" s="250"/>
      <c r="NKZ60" s="250"/>
      <c r="NLA60" s="250"/>
      <c r="NLB60" s="250"/>
      <c r="NLC60" s="250"/>
      <c r="NLD60" s="250"/>
      <c r="NLE60" s="250"/>
      <c r="NLF60" s="250"/>
      <c r="NLG60" s="250"/>
      <c r="NLH60" s="250"/>
      <c r="NLI60" s="250"/>
      <c r="NLJ60" s="250"/>
      <c r="NLK60" s="250"/>
      <c r="NLL60" s="250"/>
      <c r="NLM60" s="250"/>
      <c r="NLN60" s="250"/>
      <c r="NLO60" s="250"/>
      <c r="NLP60" s="250"/>
      <c r="NLQ60" s="250"/>
      <c r="NLR60" s="250"/>
      <c r="NLS60" s="250"/>
      <c r="NLT60" s="250"/>
      <c r="NLU60" s="250"/>
      <c r="NLV60" s="250"/>
      <c r="NLW60" s="250"/>
      <c r="NLX60" s="250"/>
      <c r="NLY60" s="250"/>
      <c r="NLZ60" s="250"/>
      <c r="NMA60" s="250"/>
      <c r="NMB60" s="250"/>
      <c r="NMC60" s="250"/>
      <c r="NMD60" s="250"/>
      <c r="NME60" s="250"/>
      <c r="NMF60" s="250"/>
      <c r="NMG60" s="250"/>
      <c r="NMH60" s="250"/>
      <c r="NMI60" s="250"/>
      <c r="NMJ60" s="250"/>
      <c r="NMK60" s="250"/>
      <c r="NML60" s="250"/>
      <c r="NMM60" s="250"/>
      <c r="NMN60" s="250"/>
      <c r="NMO60" s="250"/>
      <c r="NMP60" s="250"/>
      <c r="NMQ60" s="250"/>
      <c r="NMR60" s="250"/>
      <c r="NMS60" s="250"/>
      <c r="NMT60" s="250"/>
      <c r="NMU60" s="250"/>
      <c r="NMV60" s="250"/>
      <c r="NMW60" s="250"/>
      <c r="NMX60" s="250"/>
      <c r="NMY60" s="250"/>
      <c r="NMZ60" s="250"/>
      <c r="NNA60" s="250"/>
      <c r="NNB60" s="250"/>
      <c r="NNC60" s="250"/>
      <c r="NND60" s="250"/>
      <c r="NNE60" s="250"/>
      <c r="NNF60" s="250"/>
      <c r="NNG60" s="250"/>
      <c r="NNH60" s="250"/>
      <c r="NNI60" s="250"/>
      <c r="NNJ60" s="250"/>
      <c r="NNK60" s="250"/>
      <c r="NNL60" s="250"/>
      <c r="NNM60" s="250"/>
      <c r="NNN60" s="250"/>
      <c r="NNO60" s="250"/>
      <c r="NNP60" s="250"/>
      <c r="NNQ60" s="250"/>
      <c r="NNR60" s="250"/>
      <c r="NNS60" s="250"/>
      <c r="NNT60" s="250"/>
      <c r="NNU60" s="250"/>
      <c r="NNV60" s="250"/>
      <c r="NNW60" s="250"/>
      <c r="NNX60" s="250"/>
      <c r="NNY60" s="250"/>
      <c r="NNZ60" s="250"/>
      <c r="NOA60" s="250"/>
      <c r="NOB60" s="250"/>
      <c r="NOC60" s="250"/>
      <c r="NOD60" s="250"/>
      <c r="NOE60" s="250"/>
      <c r="NOF60" s="250"/>
      <c r="NOG60" s="250"/>
      <c r="NOH60" s="250"/>
      <c r="NOI60" s="250"/>
      <c r="NOJ60" s="250"/>
      <c r="NOK60" s="250"/>
      <c r="NOL60" s="250"/>
      <c r="NOM60" s="250"/>
      <c r="NON60" s="250"/>
      <c r="NOO60" s="250"/>
      <c r="NOP60" s="250"/>
      <c r="NOQ60" s="250"/>
      <c r="NOR60" s="250"/>
      <c r="NOS60" s="250"/>
      <c r="NOT60" s="250"/>
      <c r="NOU60" s="250"/>
      <c r="NOV60" s="250"/>
      <c r="NOW60" s="250"/>
      <c r="NOX60" s="250"/>
      <c r="NOY60" s="250"/>
      <c r="NOZ60" s="250"/>
      <c r="NPA60" s="250"/>
      <c r="NPB60" s="250"/>
      <c r="NPC60" s="250"/>
      <c r="NPD60" s="250"/>
      <c r="NPE60" s="250"/>
      <c r="NPF60" s="250"/>
      <c r="NPG60" s="250"/>
      <c r="NPH60" s="250"/>
      <c r="NPI60" s="250"/>
      <c r="NPJ60" s="250"/>
      <c r="NPK60" s="250"/>
      <c r="NPL60" s="250"/>
      <c r="NPM60" s="250"/>
      <c r="NPN60" s="250"/>
      <c r="NPO60" s="250"/>
      <c r="NPP60" s="250"/>
      <c r="NPQ60" s="250"/>
      <c r="NPR60" s="250"/>
      <c r="NPS60" s="250"/>
      <c r="NPT60" s="250"/>
      <c r="NPU60" s="250"/>
      <c r="NPV60" s="250"/>
      <c r="NPW60" s="250"/>
      <c r="NPX60" s="250"/>
      <c r="NPY60" s="250"/>
      <c r="NPZ60" s="250"/>
      <c r="NQA60" s="250"/>
      <c r="NQB60" s="250"/>
      <c r="NQC60" s="250"/>
      <c r="NQD60" s="250"/>
      <c r="NQE60" s="250"/>
      <c r="NQF60" s="250"/>
      <c r="NQG60" s="250"/>
      <c r="NQH60" s="250"/>
      <c r="NQI60" s="250"/>
      <c r="NQJ60" s="250"/>
      <c r="NQK60" s="250"/>
      <c r="NQL60" s="250"/>
      <c r="NQM60" s="250"/>
      <c r="NQN60" s="250"/>
      <c r="NQO60" s="250"/>
      <c r="NQP60" s="250"/>
      <c r="NQQ60" s="250"/>
      <c r="NQR60" s="250"/>
      <c r="NQS60" s="250"/>
      <c r="NQT60" s="250"/>
      <c r="NQU60" s="250"/>
      <c r="NQV60" s="250"/>
      <c r="NQW60" s="250"/>
      <c r="NQX60" s="250"/>
      <c r="NQY60" s="250"/>
      <c r="NQZ60" s="250"/>
      <c r="NRA60" s="250"/>
      <c r="NRB60" s="250"/>
      <c r="NRC60" s="250"/>
      <c r="NRD60" s="250"/>
      <c r="NRE60" s="250"/>
      <c r="NRF60" s="250"/>
      <c r="NRG60" s="250"/>
      <c r="NRH60" s="250"/>
      <c r="NRI60" s="250"/>
      <c r="NRJ60" s="250"/>
      <c r="NRK60" s="250"/>
      <c r="NRL60" s="250"/>
      <c r="NRM60" s="250"/>
      <c r="NRN60" s="250"/>
      <c r="NRO60" s="250"/>
      <c r="NRP60" s="250"/>
      <c r="NRQ60" s="250"/>
      <c r="NRR60" s="250"/>
      <c r="NRS60" s="250"/>
      <c r="NRT60" s="250"/>
      <c r="NRU60" s="250"/>
      <c r="NRV60" s="250"/>
      <c r="NRW60" s="250"/>
      <c r="NRX60" s="250"/>
      <c r="NRY60" s="250"/>
      <c r="NRZ60" s="250"/>
      <c r="NSA60" s="250"/>
      <c r="NSB60" s="250"/>
      <c r="NSC60" s="250"/>
      <c r="NSD60" s="250"/>
      <c r="NSE60" s="250"/>
      <c r="NSF60" s="250"/>
      <c r="NSG60" s="250"/>
      <c r="NSH60" s="250"/>
      <c r="NSI60" s="250"/>
      <c r="NSJ60" s="250"/>
      <c r="NSK60" s="250"/>
      <c r="NSL60" s="250"/>
      <c r="NSM60" s="250"/>
      <c r="NSN60" s="250"/>
      <c r="NSO60" s="250"/>
      <c r="NSP60" s="250"/>
      <c r="NSQ60" s="250"/>
      <c r="NSR60" s="250"/>
      <c r="NSS60" s="250"/>
      <c r="NST60" s="250"/>
      <c r="NSU60" s="250"/>
      <c r="NSV60" s="250"/>
      <c r="NSW60" s="250"/>
      <c r="NSX60" s="250"/>
      <c r="NSY60" s="250"/>
      <c r="NSZ60" s="250"/>
      <c r="NTA60" s="250"/>
      <c r="NTB60" s="250"/>
      <c r="NTC60" s="250"/>
      <c r="NTD60" s="250"/>
      <c r="NTE60" s="250"/>
      <c r="NTF60" s="250"/>
      <c r="NTG60" s="250"/>
      <c r="NTH60" s="250"/>
      <c r="NTI60" s="250"/>
      <c r="NTJ60" s="250"/>
      <c r="NTK60" s="250"/>
      <c r="NTL60" s="250"/>
      <c r="NTM60" s="250"/>
      <c r="NTN60" s="250"/>
      <c r="NTO60" s="250"/>
      <c r="NTP60" s="250"/>
      <c r="NTQ60" s="250"/>
      <c r="NTR60" s="250"/>
      <c r="NTS60" s="250"/>
      <c r="NTT60" s="250"/>
      <c r="NTU60" s="250"/>
      <c r="NTV60" s="250"/>
      <c r="NTW60" s="250"/>
      <c r="NTX60" s="250"/>
      <c r="NTY60" s="250"/>
      <c r="NTZ60" s="250"/>
      <c r="NUA60" s="250"/>
      <c r="NUB60" s="250"/>
      <c r="NUC60" s="250"/>
      <c r="NUD60" s="250"/>
      <c r="NUE60" s="250"/>
      <c r="NUF60" s="250"/>
      <c r="NUG60" s="250"/>
      <c r="NUH60" s="250"/>
      <c r="NUI60" s="250"/>
      <c r="NUJ60" s="250"/>
      <c r="NUK60" s="250"/>
      <c r="NUL60" s="250"/>
      <c r="NUM60" s="250"/>
      <c r="NUN60" s="250"/>
      <c r="NUO60" s="250"/>
      <c r="NUP60" s="250"/>
      <c r="NUQ60" s="250"/>
      <c r="NUR60" s="250"/>
      <c r="NUS60" s="250"/>
      <c r="NUT60" s="250"/>
      <c r="NUU60" s="250"/>
      <c r="NUV60" s="250"/>
      <c r="NUW60" s="250"/>
      <c r="NUX60" s="250"/>
      <c r="NUY60" s="250"/>
      <c r="NUZ60" s="250"/>
      <c r="NVA60" s="250"/>
      <c r="NVB60" s="250"/>
      <c r="NVC60" s="250"/>
      <c r="NVD60" s="250"/>
      <c r="NVE60" s="250"/>
      <c r="NVF60" s="250"/>
      <c r="NVG60" s="250"/>
      <c r="NVH60" s="250"/>
      <c r="NVI60" s="250"/>
      <c r="NVJ60" s="250"/>
      <c r="NVK60" s="250"/>
      <c r="NVL60" s="250"/>
      <c r="NVM60" s="250"/>
      <c r="NVN60" s="250"/>
      <c r="NVO60" s="250"/>
      <c r="NVP60" s="250"/>
      <c r="NVQ60" s="250"/>
      <c r="NVR60" s="250"/>
      <c r="NVS60" s="250"/>
      <c r="NVT60" s="250"/>
      <c r="NVU60" s="250"/>
      <c r="NVV60" s="250"/>
      <c r="NVW60" s="250"/>
      <c r="NVX60" s="250"/>
      <c r="NVY60" s="250"/>
      <c r="NVZ60" s="250"/>
      <c r="NWA60" s="250"/>
      <c r="NWB60" s="250"/>
      <c r="NWC60" s="250"/>
      <c r="NWD60" s="250"/>
      <c r="NWE60" s="250"/>
      <c r="NWF60" s="250"/>
      <c r="NWG60" s="250"/>
      <c r="NWH60" s="250"/>
      <c r="NWI60" s="250"/>
      <c r="NWJ60" s="250"/>
      <c r="NWK60" s="250"/>
      <c r="NWL60" s="250"/>
      <c r="NWM60" s="250"/>
      <c r="NWN60" s="250"/>
      <c r="NWO60" s="250"/>
      <c r="NWP60" s="250"/>
      <c r="NWQ60" s="250"/>
      <c r="NWR60" s="250"/>
      <c r="NWS60" s="250"/>
      <c r="NWT60" s="250"/>
      <c r="NWU60" s="250"/>
      <c r="NWV60" s="250"/>
      <c r="NWW60" s="250"/>
      <c r="NWX60" s="250"/>
      <c r="NWY60" s="250"/>
      <c r="NWZ60" s="250"/>
      <c r="NXA60" s="250"/>
      <c r="NXB60" s="250"/>
      <c r="NXC60" s="250"/>
      <c r="NXD60" s="250"/>
      <c r="NXE60" s="250"/>
      <c r="NXF60" s="250"/>
      <c r="NXG60" s="250"/>
      <c r="NXH60" s="250"/>
      <c r="NXI60" s="250"/>
      <c r="NXJ60" s="250"/>
      <c r="NXK60" s="250"/>
      <c r="NXL60" s="250"/>
      <c r="NXM60" s="250"/>
      <c r="NXN60" s="250"/>
      <c r="NXO60" s="250"/>
      <c r="NXP60" s="250"/>
      <c r="NXQ60" s="250"/>
      <c r="NXR60" s="250"/>
      <c r="NXS60" s="250"/>
      <c r="NXT60" s="250"/>
      <c r="NXU60" s="250"/>
      <c r="NXV60" s="250"/>
      <c r="NXW60" s="250"/>
      <c r="NXX60" s="250"/>
      <c r="NXY60" s="250"/>
      <c r="NXZ60" s="250"/>
      <c r="NYA60" s="250"/>
      <c r="NYB60" s="250"/>
      <c r="NYC60" s="250"/>
      <c r="NYD60" s="250"/>
      <c r="NYE60" s="250"/>
      <c r="NYF60" s="250"/>
      <c r="NYG60" s="250"/>
      <c r="NYH60" s="250"/>
      <c r="NYI60" s="250"/>
      <c r="NYJ60" s="250"/>
      <c r="NYK60" s="250"/>
      <c r="NYL60" s="250"/>
      <c r="NYM60" s="250"/>
      <c r="NYN60" s="250"/>
      <c r="NYO60" s="250"/>
      <c r="NYP60" s="250"/>
      <c r="NYQ60" s="250"/>
      <c r="NYR60" s="250"/>
      <c r="NYS60" s="250"/>
      <c r="NYT60" s="250"/>
      <c r="NYU60" s="250"/>
      <c r="NYV60" s="250"/>
      <c r="NYW60" s="250"/>
      <c r="NYX60" s="250"/>
      <c r="NYY60" s="250"/>
      <c r="NYZ60" s="250"/>
      <c r="NZA60" s="250"/>
      <c r="NZB60" s="250"/>
      <c r="NZC60" s="250"/>
      <c r="NZD60" s="250"/>
      <c r="NZE60" s="250"/>
      <c r="NZF60" s="250"/>
      <c r="NZG60" s="250"/>
      <c r="NZH60" s="250"/>
      <c r="NZI60" s="250"/>
      <c r="NZJ60" s="250"/>
      <c r="NZK60" s="250"/>
      <c r="NZL60" s="250"/>
      <c r="NZM60" s="250"/>
      <c r="NZN60" s="250"/>
      <c r="NZO60" s="250"/>
      <c r="NZP60" s="250"/>
      <c r="NZQ60" s="250"/>
      <c r="NZR60" s="250"/>
      <c r="NZS60" s="250"/>
      <c r="NZT60" s="250"/>
      <c r="NZU60" s="250"/>
      <c r="NZV60" s="250"/>
      <c r="NZW60" s="250"/>
      <c r="NZX60" s="250"/>
      <c r="NZY60" s="250"/>
      <c r="NZZ60" s="250"/>
      <c r="OAA60" s="250"/>
      <c r="OAB60" s="250"/>
      <c r="OAC60" s="250"/>
      <c r="OAD60" s="250"/>
      <c r="OAE60" s="250"/>
      <c r="OAF60" s="250"/>
      <c r="OAG60" s="250"/>
      <c r="OAH60" s="250"/>
      <c r="OAI60" s="250"/>
      <c r="OAJ60" s="250"/>
      <c r="OAK60" s="250"/>
      <c r="OAL60" s="250"/>
      <c r="OAM60" s="250"/>
      <c r="OAN60" s="250"/>
      <c r="OAO60" s="250"/>
      <c r="OAP60" s="250"/>
      <c r="OAQ60" s="250"/>
      <c r="OAR60" s="250"/>
      <c r="OAS60" s="250"/>
      <c r="OAT60" s="250"/>
      <c r="OAU60" s="250"/>
      <c r="OAV60" s="250"/>
      <c r="OAW60" s="250"/>
      <c r="OAX60" s="250"/>
      <c r="OAY60" s="250"/>
      <c r="OAZ60" s="250"/>
      <c r="OBA60" s="250"/>
      <c r="OBB60" s="250"/>
      <c r="OBC60" s="250"/>
      <c r="OBD60" s="250"/>
      <c r="OBE60" s="250"/>
      <c r="OBF60" s="250"/>
      <c r="OBG60" s="250"/>
      <c r="OBH60" s="250"/>
      <c r="OBI60" s="250"/>
      <c r="OBJ60" s="250"/>
      <c r="OBK60" s="250"/>
      <c r="OBL60" s="250"/>
      <c r="OBM60" s="250"/>
      <c r="OBN60" s="250"/>
      <c r="OBO60" s="250"/>
      <c r="OBP60" s="250"/>
      <c r="OBQ60" s="250"/>
      <c r="OBR60" s="250"/>
      <c r="OBS60" s="250"/>
      <c r="OBT60" s="250"/>
      <c r="OBU60" s="250"/>
      <c r="OBV60" s="250"/>
      <c r="OBW60" s="250"/>
      <c r="OBX60" s="250"/>
      <c r="OBY60" s="250"/>
      <c r="OBZ60" s="250"/>
      <c r="OCA60" s="250"/>
      <c r="OCB60" s="250"/>
      <c r="OCC60" s="250"/>
      <c r="OCD60" s="250"/>
      <c r="OCE60" s="250"/>
      <c r="OCF60" s="250"/>
      <c r="OCG60" s="250"/>
      <c r="OCH60" s="250"/>
      <c r="OCI60" s="250"/>
      <c r="OCJ60" s="250"/>
      <c r="OCK60" s="250"/>
      <c r="OCL60" s="250"/>
      <c r="OCM60" s="250"/>
      <c r="OCN60" s="250"/>
      <c r="OCO60" s="250"/>
      <c r="OCP60" s="250"/>
      <c r="OCQ60" s="250"/>
      <c r="OCR60" s="250"/>
      <c r="OCS60" s="250"/>
      <c r="OCT60" s="250"/>
      <c r="OCU60" s="250"/>
      <c r="OCV60" s="250"/>
      <c r="OCW60" s="250"/>
      <c r="OCX60" s="250"/>
      <c r="OCY60" s="250"/>
      <c r="OCZ60" s="250"/>
      <c r="ODA60" s="250"/>
      <c r="ODB60" s="250"/>
      <c r="ODC60" s="250"/>
      <c r="ODD60" s="250"/>
      <c r="ODE60" s="250"/>
      <c r="ODF60" s="250"/>
      <c r="ODG60" s="250"/>
      <c r="ODH60" s="250"/>
      <c r="ODI60" s="250"/>
      <c r="ODJ60" s="250"/>
      <c r="ODK60" s="250"/>
      <c r="ODL60" s="250"/>
      <c r="ODM60" s="250"/>
      <c r="ODN60" s="250"/>
      <c r="ODO60" s="250"/>
      <c r="ODP60" s="250"/>
      <c r="ODQ60" s="250"/>
      <c r="ODR60" s="250"/>
      <c r="ODS60" s="250"/>
      <c r="ODT60" s="250"/>
      <c r="ODU60" s="250"/>
      <c r="ODV60" s="250"/>
      <c r="ODW60" s="250"/>
      <c r="ODX60" s="250"/>
      <c r="ODY60" s="250"/>
      <c r="ODZ60" s="250"/>
      <c r="OEA60" s="250"/>
      <c r="OEB60" s="250"/>
      <c r="OEC60" s="250"/>
      <c r="OED60" s="250"/>
      <c r="OEE60" s="250"/>
      <c r="OEF60" s="250"/>
      <c r="OEG60" s="250"/>
      <c r="OEH60" s="250"/>
      <c r="OEI60" s="250"/>
      <c r="OEJ60" s="250"/>
      <c r="OEK60" s="250"/>
      <c r="OEL60" s="250"/>
      <c r="OEM60" s="250"/>
      <c r="OEN60" s="250"/>
      <c r="OEO60" s="250"/>
      <c r="OEP60" s="250"/>
      <c r="OEQ60" s="250"/>
      <c r="OER60" s="250"/>
      <c r="OES60" s="250"/>
      <c r="OET60" s="250"/>
      <c r="OEU60" s="250"/>
      <c r="OEV60" s="250"/>
      <c r="OEW60" s="250"/>
      <c r="OEX60" s="250"/>
      <c r="OEY60" s="250"/>
      <c r="OEZ60" s="250"/>
      <c r="OFA60" s="250"/>
      <c r="OFB60" s="250"/>
      <c r="OFC60" s="250"/>
      <c r="OFD60" s="250"/>
      <c r="OFE60" s="250"/>
      <c r="OFF60" s="250"/>
      <c r="OFG60" s="250"/>
      <c r="OFH60" s="250"/>
      <c r="OFI60" s="250"/>
      <c r="OFJ60" s="250"/>
      <c r="OFK60" s="250"/>
      <c r="OFL60" s="250"/>
      <c r="OFM60" s="250"/>
      <c r="OFN60" s="250"/>
      <c r="OFO60" s="250"/>
      <c r="OFP60" s="250"/>
      <c r="OFQ60" s="250"/>
      <c r="OFR60" s="250"/>
      <c r="OFS60" s="250"/>
      <c r="OFT60" s="250"/>
      <c r="OFU60" s="250"/>
      <c r="OFV60" s="250"/>
      <c r="OFW60" s="250"/>
      <c r="OFX60" s="250"/>
      <c r="OFY60" s="250"/>
      <c r="OFZ60" s="250"/>
      <c r="OGA60" s="250"/>
      <c r="OGB60" s="250"/>
      <c r="OGC60" s="250"/>
      <c r="OGD60" s="250"/>
      <c r="OGE60" s="250"/>
      <c r="OGF60" s="250"/>
      <c r="OGG60" s="250"/>
      <c r="OGH60" s="250"/>
      <c r="OGI60" s="250"/>
      <c r="OGJ60" s="250"/>
      <c r="OGK60" s="250"/>
      <c r="OGL60" s="250"/>
      <c r="OGM60" s="250"/>
      <c r="OGN60" s="250"/>
      <c r="OGO60" s="250"/>
      <c r="OGP60" s="250"/>
      <c r="OGQ60" s="250"/>
      <c r="OGR60" s="250"/>
      <c r="OGS60" s="250"/>
      <c r="OGT60" s="250"/>
      <c r="OGU60" s="250"/>
      <c r="OGV60" s="250"/>
      <c r="OGW60" s="250"/>
      <c r="OGX60" s="250"/>
      <c r="OGY60" s="250"/>
      <c r="OGZ60" s="250"/>
      <c r="OHA60" s="250"/>
      <c r="OHB60" s="250"/>
      <c r="OHC60" s="250"/>
      <c r="OHD60" s="250"/>
      <c r="OHE60" s="250"/>
      <c r="OHF60" s="250"/>
      <c r="OHG60" s="250"/>
      <c r="OHH60" s="250"/>
      <c r="OHI60" s="250"/>
      <c r="OHJ60" s="250"/>
      <c r="OHK60" s="250"/>
      <c r="OHL60" s="250"/>
      <c r="OHM60" s="250"/>
      <c r="OHN60" s="250"/>
      <c r="OHO60" s="250"/>
      <c r="OHP60" s="250"/>
      <c r="OHQ60" s="250"/>
      <c r="OHR60" s="250"/>
      <c r="OHS60" s="250"/>
      <c r="OHT60" s="250"/>
      <c r="OHU60" s="250"/>
      <c r="OHV60" s="250"/>
      <c r="OHW60" s="250"/>
      <c r="OHX60" s="250"/>
      <c r="OHY60" s="250"/>
      <c r="OHZ60" s="250"/>
      <c r="OIA60" s="250"/>
      <c r="OIB60" s="250"/>
      <c r="OIC60" s="250"/>
      <c r="OID60" s="250"/>
      <c r="OIE60" s="250"/>
      <c r="OIF60" s="250"/>
      <c r="OIG60" s="250"/>
      <c r="OIH60" s="250"/>
      <c r="OII60" s="250"/>
      <c r="OIJ60" s="250"/>
      <c r="OIK60" s="250"/>
      <c r="OIL60" s="250"/>
      <c r="OIM60" s="250"/>
      <c r="OIN60" s="250"/>
      <c r="OIO60" s="250"/>
      <c r="OIP60" s="250"/>
      <c r="OIQ60" s="250"/>
      <c r="OIR60" s="250"/>
      <c r="OIS60" s="250"/>
      <c r="OIT60" s="250"/>
      <c r="OIU60" s="250"/>
      <c r="OIV60" s="250"/>
      <c r="OIW60" s="250"/>
      <c r="OIX60" s="250"/>
      <c r="OIY60" s="250"/>
      <c r="OIZ60" s="250"/>
      <c r="OJA60" s="250"/>
      <c r="OJB60" s="250"/>
      <c r="OJC60" s="250"/>
      <c r="OJD60" s="250"/>
      <c r="OJE60" s="250"/>
      <c r="OJF60" s="250"/>
      <c r="OJG60" s="250"/>
      <c r="OJH60" s="250"/>
      <c r="OJI60" s="250"/>
      <c r="OJJ60" s="250"/>
      <c r="OJK60" s="250"/>
      <c r="OJL60" s="250"/>
      <c r="OJM60" s="250"/>
      <c r="OJN60" s="250"/>
      <c r="OJO60" s="250"/>
      <c r="OJP60" s="250"/>
      <c r="OJQ60" s="250"/>
      <c r="OJR60" s="250"/>
      <c r="OJS60" s="250"/>
      <c r="OJT60" s="250"/>
      <c r="OJU60" s="250"/>
      <c r="OJV60" s="250"/>
      <c r="OJW60" s="250"/>
      <c r="OJX60" s="250"/>
      <c r="OJY60" s="250"/>
      <c r="OJZ60" s="250"/>
      <c r="OKA60" s="250"/>
      <c r="OKB60" s="250"/>
      <c r="OKC60" s="250"/>
      <c r="OKD60" s="250"/>
      <c r="OKE60" s="250"/>
      <c r="OKF60" s="250"/>
      <c r="OKG60" s="250"/>
      <c r="OKH60" s="250"/>
      <c r="OKI60" s="250"/>
      <c r="OKJ60" s="250"/>
      <c r="OKK60" s="250"/>
      <c r="OKL60" s="250"/>
      <c r="OKM60" s="250"/>
      <c r="OKN60" s="250"/>
      <c r="OKO60" s="250"/>
      <c r="OKP60" s="250"/>
      <c r="OKQ60" s="250"/>
      <c r="OKR60" s="250"/>
      <c r="OKS60" s="250"/>
      <c r="OKT60" s="250"/>
      <c r="OKU60" s="250"/>
      <c r="OKV60" s="250"/>
      <c r="OKW60" s="250"/>
      <c r="OKX60" s="250"/>
      <c r="OKY60" s="250"/>
      <c r="OKZ60" s="250"/>
      <c r="OLA60" s="250"/>
      <c r="OLB60" s="250"/>
      <c r="OLC60" s="250"/>
      <c r="OLD60" s="250"/>
      <c r="OLE60" s="250"/>
      <c r="OLF60" s="250"/>
      <c r="OLG60" s="250"/>
      <c r="OLH60" s="250"/>
      <c r="OLI60" s="250"/>
      <c r="OLJ60" s="250"/>
      <c r="OLK60" s="250"/>
      <c r="OLL60" s="250"/>
      <c r="OLM60" s="250"/>
      <c r="OLN60" s="250"/>
      <c r="OLO60" s="250"/>
      <c r="OLP60" s="250"/>
      <c r="OLQ60" s="250"/>
      <c r="OLR60" s="250"/>
      <c r="OLS60" s="250"/>
      <c r="OLT60" s="250"/>
      <c r="OLU60" s="250"/>
      <c r="OLV60" s="250"/>
      <c r="OLW60" s="250"/>
      <c r="OLX60" s="250"/>
      <c r="OLY60" s="250"/>
      <c r="OLZ60" s="250"/>
      <c r="OMA60" s="250"/>
      <c r="OMB60" s="250"/>
      <c r="OMC60" s="250"/>
      <c r="OMD60" s="250"/>
      <c r="OME60" s="250"/>
      <c r="OMF60" s="250"/>
      <c r="OMG60" s="250"/>
      <c r="OMH60" s="250"/>
      <c r="OMI60" s="250"/>
      <c r="OMJ60" s="250"/>
      <c r="OMK60" s="250"/>
      <c r="OML60" s="250"/>
      <c r="OMM60" s="250"/>
      <c r="OMN60" s="250"/>
      <c r="OMO60" s="250"/>
      <c r="OMP60" s="250"/>
      <c r="OMQ60" s="250"/>
      <c r="OMR60" s="250"/>
      <c r="OMS60" s="250"/>
      <c r="OMT60" s="250"/>
      <c r="OMU60" s="250"/>
      <c r="OMV60" s="250"/>
      <c r="OMW60" s="250"/>
      <c r="OMX60" s="250"/>
      <c r="OMY60" s="250"/>
      <c r="OMZ60" s="250"/>
      <c r="ONA60" s="250"/>
      <c r="ONB60" s="250"/>
      <c r="ONC60" s="250"/>
      <c r="OND60" s="250"/>
      <c r="ONE60" s="250"/>
      <c r="ONF60" s="250"/>
      <c r="ONG60" s="250"/>
      <c r="ONH60" s="250"/>
      <c r="ONI60" s="250"/>
      <c r="ONJ60" s="250"/>
      <c r="ONK60" s="250"/>
      <c r="ONL60" s="250"/>
      <c r="ONM60" s="250"/>
      <c r="ONN60" s="250"/>
      <c r="ONO60" s="250"/>
      <c r="ONP60" s="250"/>
      <c r="ONQ60" s="250"/>
      <c r="ONR60" s="250"/>
      <c r="ONS60" s="250"/>
      <c r="ONT60" s="250"/>
      <c r="ONU60" s="250"/>
      <c r="ONV60" s="250"/>
      <c r="ONW60" s="250"/>
      <c r="ONX60" s="250"/>
      <c r="ONY60" s="250"/>
      <c r="ONZ60" s="250"/>
      <c r="OOA60" s="250"/>
      <c r="OOB60" s="250"/>
      <c r="OOC60" s="250"/>
      <c r="OOD60" s="250"/>
      <c r="OOE60" s="250"/>
      <c r="OOF60" s="250"/>
      <c r="OOG60" s="250"/>
      <c r="OOH60" s="250"/>
      <c r="OOI60" s="250"/>
      <c r="OOJ60" s="250"/>
      <c r="OOK60" s="250"/>
      <c r="OOL60" s="250"/>
      <c r="OOM60" s="250"/>
      <c r="OON60" s="250"/>
      <c r="OOO60" s="250"/>
      <c r="OOP60" s="250"/>
      <c r="OOQ60" s="250"/>
      <c r="OOR60" s="250"/>
      <c r="OOS60" s="250"/>
      <c r="OOT60" s="250"/>
      <c r="OOU60" s="250"/>
      <c r="OOV60" s="250"/>
      <c r="OOW60" s="250"/>
      <c r="OOX60" s="250"/>
      <c r="OOY60" s="250"/>
      <c r="OOZ60" s="250"/>
      <c r="OPA60" s="250"/>
      <c r="OPB60" s="250"/>
      <c r="OPC60" s="250"/>
      <c r="OPD60" s="250"/>
      <c r="OPE60" s="250"/>
      <c r="OPF60" s="250"/>
      <c r="OPG60" s="250"/>
      <c r="OPH60" s="250"/>
      <c r="OPI60" s="250"/>
      <c r="OPJ60" s="250"/>
      <c r="OPK60" s="250"/>
      <c r="OPL60" s="250"/>
      <c r="OPM60" s="250"/>
      <c r="OPN60" s="250"/>
      <c r="OPO60" s="250"/>
      <c r="OPP60" s="250"/>
      <c r="OPQ60" s="250"/>
      <c r="OPR60" s="250"/>
      <c r="OPS60" s="250"/>
      <c r="OPT60" s="250"/>
      <c r="OPU60" s="250"/>
      <c r="OPV60" s="250"/>
      <c r="OPW60" s="250"/>
      <c r="OPX60" s="250"/>
      <c r="OPY60" s="250"/>
      <c r="OPZ60" s="250"/>
      <c r="OQA60" s="250"/>
      <c r="OQB60" s="250"/>
      <c r="OQC60" s="250"/>
      <c r="OQD60" s="250"/>
      <c r="OQE60" s="250"/>
      <c r="OQF60" s="250"/>
      <c r="OQG60" s="250"/>
      <c r="OQH60" s="250"/>
      <c r="OQI60" s="250"/>
      <c r="OQJ60" s="250"/>
      <c r="OQK60" s="250"/>
      <c r="OQL60" s="250"/>
      <c r="OQM60" s="250"/>
      <c r="OQN60" s="250"/>
      <c r="OQO60" s="250"/>
      <c r="OQP60" s="250"/>
      <c r="OQQ60" s="250"/>
      <c r="OQR60" s="250"/>
      <c r="OQS60" s="250"/>
      <c r="OQT60" s="250"/>
      <c r="OQU60" s="250"/>
      <c r="OQV60" s="250"/>
      <c r="OQW60" s="250"/>
      <c r="OQX60" s="250"/>
      <c r="OQY60" s="250"/>
      <c r="OQZ60" s="250"/>
      <c r="ORA60" s="250"/>
      <c r="ORB60" s="250"/>
      <c r="ORC60" s="250"/>
      <c r="ORD60" s="250"/>
      <c r="ORE60" s="250"/>
      <c r="ORF60" s="250"/>
      <c r="ORG60" s="250"/>
      <c r="ORH60" s="250"/>
      <c r="ORI60" s="250"/>
      <c r="ORJ60" s="250"/>
      <c r="ORK60" s="250"/>
      <c r="ORL60" s="250"/>
      <c r="ORM60" s="250"/>
      <c r="ORN60" s="250"/>
      <c r="ORO60" s="250"/>
      <c r="ORP60" s="250"/>
      <c r="ORQ60" s="250"/>
      <c r="ORR60" s="250"/>
      <c r="ORS60" s="250"/>
      <c r="ORT60" s="250"/>
      <c r="ORU60" s="250"/>
      <c r="ORV60" s="250"/>
      <c r="ORW60" s="250"/>
      <c r="ORX60" s="250"/>
      <c r="ORY60" s="250"/>
      <c r="ORZ60" s="250"/>
      <c r="OSA60" s="250"/>
      <c r="OSB60" s="250"/>
      <c r="OSC60" s="250"/>
      <c r="OSD60" s="250"/>
      <c r="OSE60" s="250"/>
      <c r="OSF60" s="250"/>
      <c r="OSG60" s="250"/>
      <c r="OSH60" s="250"/>
      <c r="OSI60" s="250"/>
      <c r="OSJ60" s="250"/>
      <c r="OSK60" s="250"/>
      <c r="OSL60" s="250"/>
      <c r="OSM60" s="250"/>
      <c r="OSN60" s="250"/>
      <c r="OSO60" s="250"/>
      <c r="OSP60" s="250"/>
      <c r="OSQ60" s="250"/>
      <c r="OSR60" s="250"/>
      <c r="OSS60" s="250"/>
      <c r="OST60" s="250"/>
      <c r="OSU60" s="250"/>
      <c r="OSV60" s="250"/>
      <c r="OSW60" s="250"/>
      <c r="OSX60" s="250"/>
      <c r="OSY60" s="250"/>
      <c r="OSZ60" s="250"/>
      <c r="OTA60" s="250"/>
      <c r="OTB60" s="250"/>
      <c r="OTC60" s="250"/>
      <c r="OTD60" s="250"/>
      <c r="OTE60" s="250"/>
      <c r="OTF60" s="250"/>
      <c r="OTG60" s="250"/>
      <c r="OTH60" s="250"/>
      <c r="OTI60" s="250"/>
      <c r="OTJ60" s="250"/>
      <c r="OTK60" s="250"/>
      <c r="OTL60" s="250"/>
      <c r="OTM60" s="250"/>
      <c r="OTN60" s="250"/>
      <c r="OTO60" s="250"/>
      <c r="OTP60" s="250"/>
      <c r="OTQ60" s="250"/>
      <c r="OTR60" s="250"/>
      <c r="OTS60" s="250"/>
      <c r="OTT60" s="250"/>
      <c r="OTU60" s="250"/>
      <c r="OTV60" s="250"/>
      <c r="OTW60" s="250"/>
      <c r="OTX60" s="250"/>
      <c r="OTY60" s="250"/>
      <c r="OTZ60" s="250"/>
      <c r="OUA60" s="250"/>
      <c r="OUB60" s="250"/>
      <c r="OUC60" s="250"/>
      <c r="OUD60" s="250"/>
      <c r="OUE60" s="250"/>
      <c r="OUF60" s="250"/>
      <c r="OUG60" s="250"/>
      <c r="OUH60" s="250"/>
      <c r="OUI60" s="250"/>
      <c r="OUJ60" s="250"/>
      <c r="OUK60" s="250"/>
      <c r="OUL60" s="250"/>
      <c r="OUM60" s="250"/>
      <c r="OUN60" s="250"/>
      <c r="OUO60" s="250"/>
      <c r="OUP60" s="250"/>
      <c r="OUQ60" s="250"/>
      <c r="OUR60" s="250"/>
      <c r="OUS60" s="250"/>
      <c r="OUT60" s="250"/>
      <c r="OUU60" s="250"/>
      <c r="OUV60" s="250"/>
      <c r="OUW60" s="250"/>
      <c r="OUX60" s="250"/>
      <c r="OUY60" s="250"/>
      <c r="OUZ60" s="250"/>
      <c r="OVA60" s="250"/>
      <c r="OVB60" s="250"/>
      <c r="OVC60" s="250"/>
      <c r="OVD60" s="250"/>
      <c r="OVE60" s="250"/>
      <c r="OVF60" s="250"/>
      <c r="OVG60" s="250"/>
      <c r="OVH60" s="250"/>
      <c r="OVI60" s="250"/>
      <c r="OVJ60" s="250"/>
      <c r="OVK60" s="250"/>
      <c r="OVL60" s="250"/>
      <c r="OVM60" s="250"/>
      <c r="OVN60" s="250"/>
      <c r="OVO60" s="250"/>
      <c r="OVP60" s="250"/>
      <c r="OVQ60" s="250"/>
      <c r="OVR60" s="250"/>
      <c r="OVS60" s="250"/>
      <c r="OVT60" s="250"/>
      <c r="OVU60" s="250"/>
      <c r="OVV60" s="250"/>
      <c r="OVW60" s="250"/>
      <c r="OVX60" s="250"/>
      <c r="OVY60" s="250"/>
      <c r="OVZ60" s="250"/>
      <c r="OWA60" s="250"/>
      <c r="OWB60" s="250"/>
      <c r="OWC60" s="250"/>
      <c r="OWD60" s="250"/>
      <c r="OWE60" s="250"/>
      <c r="OWF60" s="250"/>
      <c r="OWG60" s="250"/>
      <c r="OWH60" s="250"/>
      <c r="OWI60" s="250"/>
      <c r="OWJ60" s="250"/>
      <c r="OWK60" s="250"/>
      <c r="OWL60" s="250"/>
      <c r="OWM60" s="250"/>
      <c r="OWN60" s="250"/>
      <c r="OWO60" s="250"/>
      <c r="OWP60" s="250"/>
      <c r="OWQ60" s="250"/>
      <c r="OWR60" s="250"/>
      <c r="OWS60" s="250"/>
      <c r="OWT60" s="250"/>
      <c r="OWU60" s="250"/>
      <c r="OWV60" s="250"/>
      <c r="OWW60" s="250"/>
      <c r="OWX60" s="250"/>
      <c r="OWY60" s="250"/>
      <c r="OWZ60" s="250"/>
      <c r="OXA60" s="250"/>
      <c r="OXB60" s="250"/>
      <c r="OXC60" s="250"/>
      <c r="OXD60" s="250"/>
      <c r="OXE60" s="250"/>
      <c r="OXF60" s="250"/>
      <c r="OXG60" s="250"/>
      <c r="OXH60" s="250"/>
      <c r="OXI60" s="250"/>
      <c r="OXJ60" s="250"/>
      <c r="OXK60" s="250"/>
      <c r="OXL60" s="250"/>
      <c r="OXM60" s="250"/>
      <c r="OXN60" s="250"/>
      <c r="OXO60" s="250"/>
      <c r="OXP60" s="250"/>
      <c r="OXQ60" s="250"/>
      <c r="OXR60" s="250"/>
      <c r="OXS60" s="250"/>
      <c r="OXT60" s="250"/>
      <c r="OXU60" s="250"/>
      <c r="OXV60" s="250"/>
      <c r="OXW60" s="250"/>
      <c r="OXX60" s="250"/>
      <c r="OXY60" s="250"/>
      <c r="OXZ60" s="250"/>
      <c r="OYA60" s="250"/>
      <c r="OYB60" s="250"/>
      <c r="OYC60" s="250"/>
      <c r="OYD60" s="250"/>
      <c r="OYE60" s="250"/>
      <c r="OYF60" s="250"/>
      <c r="OYG60" s="250"/>
      <c r="OYH60" s="250"/>
      <c r="OYI60" s="250"/>
      <c r="OYJ60" s="250"/>
      <c r="OYK60" s="250"/>
      <c r="OYL60" s="250"/>
      <c r="OYM60" s="250"/>
      <c r="OYN60" s="250"/>
      <c r="OYO60" s="250"/>
      <c r="OYP60" s="250"/>
      <c r="OYQ60" s="250"/>
      <c r="OYR60" s="250"/>
      <c r="OYS60" s="250"/>
      <c r="OYT60" s="250"/>
      <c r="OYU60" s="250"/>
      <c r="OYV60" s="250"/>
      <c r="OYW60" s="250"/>
      <c r="OYX60" s="250"/>
      <c r="OYY60" s="250"/>
      <c r="OYZ60" s="250"/>
      <c r="OZA60" s="250"/>
      <c r="OZB60" s="250"/>
      <c r="OZC60" s="250"/>
      <c r="OZD60" s="250"/>
      <c r="OZE60" s="250"/>
      <c r="OZF60" s="250"/>
      <c r="OZG60" s="250"/>
      <c r="OZH60" s="250"/>
      <c r="OZI60" s="250"/>
      <c r="OZJ60" s="250"/>
      <c r="OZK60" s="250"/>
      <c r="OZL60" s="250"/>
      <c r="OZM60" s="250"/>
      <c r="OZN60" s="250"/>
      <c r="OZO60" s="250"/>
      <c r="OZP60" s="250"/>
      <c r="OZQ60" s="250"/>
      <c r="OZR60" s="250"/>
      <c r="OZS60" s="250"/>
      <c r="OZT60" s="250"/>
      <c r="OZU60" s="250"/>
      <c r="OZV60" s="250"/>
      <c r="OZW60" s="250"/>
      <c r="OZX60" s="250"/>
      <c r="OZY60" s="250"/>
      <c r="OZZ60" s="250"/>
      <c r="PAA60" s="250"/>
      <c r="PAB60" s="250"/>
      <c r="PAC60" s="250"/>
      <c r="PAD60" s="250"/>
      <c r="PAE60" s="250"/>
      <c r="PAF60" s="250"/>
      <c r="PAG60" s="250"/>
      <c r="PAH60" s="250"/>
      <c r="PAI60" s="250"/>
      <c r="PAJ60" s="250"/>
      <c r="PAK60" s="250"/>
      <c r="PAL60" s="250"/>
      <c r="PAM60" s="250"/>
      <c r="PAN60" s="250"/>
      <c r="PAO60" s="250"/>
      <c r="PAP60" s="250"/>
      <c r="PAQ60" s="250"/>
      <c r="PAR60" s="250"/>
      <c r="PAS60" s="250"/>
      <c r="PAT60" s="250"/>
      <c r="PAU60" s="250"/>
      <c r="PAV60" s="250"/>
      <c r="PAW60" s="250"/>
      <c r="PAX60" s="250"/>
      <c r="PAY60" s="250"/>
      <c r="PAZ60" s="250"/>
      <c r="PBA60" s="250"/>
      <c r="PBB60" s="250"/>
      <c r="PBC60" s="250"/>
      <c r="PBD60" s="250"/>
      <c r="PBE60" s="250"/>
      <c r="PBF60" s="250"/>
      <c r="PBG60" s="250"/>
      <c r="PBH60" s="250"/>
      <c r="PBI60" s="250"/>
      <c r="PBJ60" s="250"/>
      <c r="PBK60" s="250"/>
      <c r="PBL60" s="250"/>
      <c r="PBM60" s="250"/>
      <c r="PBN60" s="250"/>
      <c r="PBO60" s="250"/>
      <c r="PBP60" s="250"/>
      <c r="PBQ60" s="250"/>
      <c r="PBR60" s="250"/>
      <c r="PBS60" s="250"/>
      <c r="PBT60" s="250"/>
      <c r="PBU60" s="250"/>
      <c r="PBV60" s="250"/>
      <c r="PBW60" s="250"/>
      <c r="PBX60" s="250"/>
      <c r="PBY60" s="250"/>
      <c r="PBZ60" s="250"/>
      <c r="PCA60" s="250"/>
      <c r="PCB60" s="250"/>
      <c r="PCC60" s="250"/>
      <c r="PCD60" s="250"/>
      <c r="PCE60" s="250"/>
      <c r="PCF60" s="250"/>
      <c r="PCG60" s="250"/>
      <c r="PCH60" s="250"/>
      <c r="PCI60" s="250"/>
      <c r="PCJ60" s="250"/>
      <c r="PCK60" s="250"/>
      <c r="PCL60" s="250"/>
      <c r="PCM60" s="250"/>
      <c r="PCN60" s="250"/>
      <c r="PCO60" s="250"/>
      <c r="PCP60" s="250"/>
      <c r="PCQ60" s="250"/>
      <c r="PCR60" s="250"/>
      <c r="PCS60" s="250"/>
      <c r="PCT60" s="250"/>
      <c r="PCU60" s="250"/>
      <c r="PCV60" s="250"/>
      <c r="PCW60" s="250"/>
      <c r="PCX60" s="250"/>
      <c r="PCY60" s="250"/>
      <c r="PCZ60" s="250"/>
      <c r="PDA60" s="250"/>
      <c r="PDB60" s="250"/>
      <c r="PDC60" s="250"/>
      <c r="PDD60" s="250"/>
      <c r="PDE60" s="250"/>
      <c r="PDF60" s="250"/>
      <c r="PDG60" s="250"/>
      <c r="PDH60" s="250"/>
      <c r="PDI60" s="250"/>
      <c r="PDJ60" s="250"/>
      <c r="PDK60" s="250"/>
      <c r="PDL60" s="250"/>
      <c r="PDM60" s="250"/>
      <c r="PDN60" s="250"/>
      <c r="PDO60" s="250"/>
      <c r="PDP60" s="250"/>
      <c r="PDQ60" s="250"/>
      <c r="PDR60" s="250"/>
      <c r="PDS60" s="250"/>
      <c r="PDT60" s="250"/>
      <c r="PDU60" s="250"/>
      <c r="PDV60" s="250"/>
      <c r="PDW60" s="250"/>
      <c r="PDX60" s="250"/>
      <c r="PDY60" s="250"/>
      <c r="PDZ60" s="250"/>
      <c r="PEA60" s="250"/>
      <c r="PEB60" s="250"/>
      <c r="PEC60" s="250"/>
      <c r="PED60" s="250"/>
      <c r="PEE60" s="250"/>
      <c r="PEF60" s="250"/>
      <c r="PEG60" s="250"/>
      <c r="PEH60" s="250"/>
      <c r="PEI60" s="250"/>
      <c r="PEJ60" s="250"/>
      <c r="PEK60" s="250"/>
      <c r="PEL60" s="250"/>
      <c r="PEM60" s="250"/>
      <c r="PEN60" s="250"/>
      <c r="PEO60" s="250"/>
      <c r="PEP60" s="250"/>
      <c r="PEQ60" s="250"/>
      <c r="PER60" s="250"/>
      <c r="PES60" s="250"/>
      <c r="PET60" s="250"/>
      <c r="PEU60" s="250"/>
      <c r="PEV60" s="250"/>
      <c r="PEW60" s="250"/>
      <c r="PEX60" s="250"/>
      <c r="PEY60" s="250"/>
      <c r="PEZ60" s="250"/>
      <c r="PFA60" s="250"/>
      <c r="PFB60" s="250"/>
      <c r="PFC60" s="250"/>
      <c r="PFD60" s="250"/>
      <c r="PFE60" s="250"/>
      <c r="PFF60" s="250"/>
      <c r="PFG60" s="250"/>
      <c r="PFH60" s="250"/>
      <c r="PFI60" s="250"/>
      <c r="PFJ60" s="250"/>
      <c r="PFK60" s="250"/>
      <c r="PFL60" s="250"/>
      <c r="PFM60" s="250"/>
      <c r="PFN60" s="250"/>
      <c r="PFO60" s="250"/>
      <c r="PFP60" s="250"/>
      <c r="PFQ60" s="250"/>
      <c r="PFR60" s="250"/>
      <c r="PFS60" s="250"/>
      <c r="PFT60" s="250"/>
      <c r="PFU60" s="250"/>
      <c r="PFV60" s="250"/>
      <c r="PFW60" s="250"/>
      <c r="PFX60" s="250"/>
      <c r="PFY60" s="250"/>
      <c r="PFZ60" s="250"/>
      <c r="PGA60" s="250"/>
      <c r="PGB60" s="250"/>
      <c r="PGC60" s="250"/>
      <c r="PGD60" s="250"/>
      <c r="PGE60" s="250"/>
      <c r="PGF60" s="250"/>
      <c r="PGG60" s="250"/>
      <c r="PGH60" s="250"/>
      <c r="PGI60" s="250"/>
      <c r="PGJ60" s="250"/>
      <c r="PGK60" s="250"/>
      <c r="PGL60" s="250"/>
      <c r="PGM60" s="250"/>
      <c r="PGN60" s="250"/>
      <c r="PGO60" s="250"/>
      <c r="PGP60" s="250"/>
      <c r="PGQ60" s="250"/>
      <c r="PGR60" s="250"/>
      <c r="PGS60" s="250"/>
      <c r="PGT60" s="250"/>
      <c r="PGU60" s="250"/>
      <c r="PGV60" s="250"/>
      <c r="PGW60" s="250"/>
      <c r="PGX60" s="250"/>
      <c r="PGY60" s="250"/>
      <c r="PGZ60" s="250"/>
      <c r="PHA60" s="250"/>
      <c r="PHB60" s="250"/>
      <c r="PHC60" s="250"/>
      <c r="PHD60" s="250"/>
      <c r="PHE60" s="250"/>
      <c r="PHF60" s="250"/>
      <c r="PHG60" s="250"/>
      <c r="PHH60" s="250"/>
      <c r="PHI60" s="250"/>
      <c r="PHJ60" s="250"/>
      <c r="PHK60" s="250"/>
      <c r="PHL60" s="250"/>
      <c r="PHM60" s="250"/>
      <c r="PHN60" s="250"/>
      <c r="PHO60" s="250"/>
      <c r="PHP60" s="250"/>
      <c r="PHQ60" s="250"/>
      <c r="PHR60" s="250"/>
      <c r="PHS60" s="250"/>
      <c r="PHT60" s="250"/>
      <c r="PHU60" s="250"/>
      <c r="PHV60" s="250"/>
      <c r="PHW60" s="250"/>
      <c r="PHX60" s="250"/>
      <c r="PHY60" s="250"/>
      <c r="PHZ60" s="250"/>
      <c r="PIA60" s="250"/>
      <c r="PIB60" s="250"/>
      <c r="PIC60" s="250"/>
      <c r="PID60" s="250"/>
      <c r="PIE60" s="250"/>
      <c r="PIF60" s="250"/>
      <c r="PIG60" s="250"/>
      <c r="PIH60" s="250"/>
      <c r="PII60" s="250"/>
      <c r="PIJ60" s="250"/>
      <c r="PIK60" s="250"/>
      <c r="PIL60" s="250"/>
      <c r="PIM60" s="250"/>
      <c r="PIN60" s="250"/>
      <c r="PIO60" s="250"/>
      <c r="PIP60" s="250"/>
      <c r="PIQ60" s="250"/>
      <c r="PIR60" s="250"/>
      <c r="PIS60" s="250"/>
      <c r="PIT60" s="250"/>
      <c r="PIU60" s="250"/>
      <c r="PIV60" s="250"/>
      <c r="PIW60" s="250"/>
      <c r="PIX60" s="250"/>
      <c r="PIY60" s="250"/>
      <c r="PIZ60" s="250"/>
      <c r="PJA60" s="250"/>
      <c r="PJB60" s="250"/>
      <c r="PJC60" s="250"/>
      <c r="PJD60" s="250"/>
      <c r="PJE60" s="250"/>
      <c r="PJF60" s="250"/>
      <c r="PJG60" s="250"/>
      <c r="PJH60" s="250"/>
      <c r="PJI60" s="250"/>
      <c r="PJJ60" s="250"/>
      <c r="PJK60" s="250"/>
      <c r="PJL60" s="250"/>
      <c r="PJM60" s="250"/>
      <c r="PJN60" s="250"/>
      <c r="PJO60" s="250"/>
      <c r="PJP60" s="250"/>
      <c r="PJQ60" s="250"/>
      <c r="PJR60" s="250"/>
      <c r="PJS60" s="250"/>
      <c r="PJT60" s="250"/>
      <c r="PJU60" s="250"/>
      <c r="PJV60" s="250"/>
      <c r="PJW60" s="250"/>
      <c r="PJX60" s="250"/>
      <c r="PJY60" s="250"/>
      <c r="PJZ60" s="250"/>
      <c r="PKA60" s="250"/>
      <c r="PKB60" s="250"/>
      <c r="PKC60" s="250"/>
      <c r="PKD60" s="250"/>
      <c r="PKE60" s="250"/>
      <c r="PKF60" s="250"/>
      <c r="PKG60" s="250"/>
      <c r="PKH60" s="250"/>
      <c r="PKI60" s="250"/>
      <c r="PKJ60" s="250"/>
      <c r="PKK60" s="250"/>
      <c r="PKL60" s="250"/>
      <c r="PKM60" s="250"/>
      <c r="PKN60" s="250"/>
      <c r="PKO60" s="250"/>
      <c r="PKP60" s="250"/>
      <c r="PKQ60" s="250"/>
      <c r="PKR60" s="250"/>
      <c r="PKS60" s="250"/>
      <c r="PKT60" s="250"/>
      <c r="PKU60" s="250"/>
      <c r="PKV60" s="250"/>
      <c r="PKW60" s="250"/>
      <c r="PKX60" s="250"/>
      <c r="PKY60" s="250"/>
      <c r="PKZ60" s="250"/>
      <c r="PLA60" s="250"/>
      <c r="PLB60" s="250"/>
      <c r="PLC60" s="250"/>
      <c r="PLD60" s="250"/>
      <c r="PLE60" s="250"/>
      <c r="PLF60" s="250"/>
      <c r="PLG60" s="250"/>
      <c r="PLH60" s="250"/>
      <c r="PLI60" s="250"/>
      <c r="PLJ60" s="250"/>
      <c r="PLK60" s="250"/>
      <c r="PLL60" s="250"/>
      <c r="PLM60" s="250"/>
      <c r="PLN60" s="250"/>
      <c r="PLO60" s="250"/>
      <c r="PLP60" s="250"/>
      <c r="PLQ60" s="250"/>
      <c r="PLR60" s="250"/>
      <c r="PLS60" s="250"/>
      <c r="PLT60" s="250"/>
      <c r="PLU60" s="250"/>
      <c r="PLV60" s="250"/>
      <c r="PLW60" s="250"/>
      <c r="PLX60" s="250"/>
      <c r="PLY60" s="250"/>
      <c r="PLZ60" s="250"/>
      <c r="PMA60" s="250"/>
      <c r="PMB60" s="250"/>
      <c r="PMC60" s="250"/>
      <c r="PMD60" s="250"/>
      <c r="PME60" s="250"/>
      <c r="PMF60" s="250"/>
      <c r="PMG60" s="250"/>
      <c r="PMH60" s="250"/>
      <c r="PMI60" s="250"/>
      <c r="PMJ60" s="250"/>
      <c r="PMK60" s="250"/>
      <c r="PML60" s="250"/>
      <c r="PMM60" s="250"/>
      <c r="PMN60" s="250"/>
      <c r="PMO60" s="250"/>
      <c r="PMP60" s="250"/>
      <c r="PMQ60" s="250"/>
      <c r="PMR60" s="250"/>
      <c r="PMS60" s="250"/>
      <c r="PMT60" s="250"/>
      <c r="PMU60" s="250"/>
      <c r="PMV60" s="250"/>
      <c r="PMW60" s="250"/>
      <c r="PMX60" s="250"/>
      <c r="PMY60" s="250"/>
      <c r="PMZ60" s="250"/>
      <c r="PNA60" s="250"/>
      <c r="PNB60" s="250"/>
      <c r="PNC60" s="250"/>
      <c r="PND60" s="250"/>
      <c r="PNE60" s="250"/>
      <c r="PNF60" s="250"/>
      <c r="PNG60" s="250"/>
      <c r="PNH60" s="250"/>
      <c r="PNI60" s="250"/>
      <c r="PNJ60" s="250"/>
      <c r="PNK60" s="250"/>
      <c r="PNL60" s="250"/>
      <c r="PNM60" s="250"/>
      <c r="PNN60" s="250"/>
      <c r="PNO60" s="250"/>
      <c r="PNP60" s="250"/>
      <c r="PNQ60" s="250"/>
      <c r="PNR60" s="250"/>
      <c r="PNS60" s="250"/>
      <c r="PNT60" s="250"/>
      <c r="PNU60" s="250"/>
      <c r="PNV60" s="250"/>
      <c r="PNW60" s="250"/>
      <c r="PNX60" s="250"/>
      <c r="PNY60" s="250"/>
      <c r="PNZ60" s="250"/>
      <c r="POA60" s="250"/>
      <c r="POB60" s="250"/>
      <c r="POC60" s="250"/>
      <c r="POD60" s="250"/>
      <c r="POE60" s="250"/>
      <c r="POF60" s="250"/>
      <c r="POG60" s="250"/>
      <c r="POH60" s="250"/>
      <c r="POI60" s="250"/>
      <c r="POJ60" s="250"/>
      <c r="POK60" s="250"/>
      <c r="POL60" s="250"/>
      <c r="POM60" s="250"/>
      <c r="PON60" s="250"/>
      <c r="POO60" s="250"/>
      <c r="POP60" s="250"/>
      <c r="POQ60" s="250"/>
      <c r="POR60" s="250"/>
      <c r="POS60" s="250"/>
      <c r="POT60" s="250"/>
      <c r="POU60" s="250"/>
      <c r="POV60" s="250"/>
      <c r="POW60" s="250"/>
      <c r="POX60" s="250"/>
      <c r="POY60" s="250"/>
      <c r="POZ60" s="250"/>
      <c r="PPA60" s="250"/>
      <c r="PPB60" s="250"/>
      <c r="PPC60" s="250"/>
      <c r="PPD60" s="250"/>
      <c r="PPE60" s="250"/>
      <c r="PPF60" s="250"/>
      <c r="PPG60" s="250"/>
      <c r="PPH60" s="250"/>
      <c r="PPI60" s="250"/>
      <c r="PPJ60" s="250"/>
      <c r="PPK60" s="250"/>
      <c r="PPL60" s="250"/>
      <c r="PPM60" s="250"/>
      <c r="PPN60" s="250"/>
      <c r="PPO60" s="250"/>
      <c r="PPP60" s="250"/>
      <c r="PPQ60" s="250"/>
      <c r="PPR60" s="250"/>
      <c r="PPS60" s="250"/>
      <c r="PPT60" s="250"/>
      <c r="PPU60" s="250"/>
      <c r="PPV60" s="250"/>
      <c r="PPW60" s="250"/>
      <c r="PPX60" s="250"/>
      <c r="PPY60" s="250"/>
      <c r="PPZ60" s="250"/>
      <c r="PQA60" s="250"/>
      <c r="PQB60" s="250"/>
      <c r="PQC60" s="250"/>
      <c r="PQD60" s="250"/>
      <c r="PQE60" s="250"/>
      <c r="PQF60" s="250"/>
      <c r="PQG60" s="250"/>
      <c r="PQH60" s="250"/>
      <c r="PQI60" s="250"/>
      <c r="PQJ60" s="250"/>
      <c r="PQK60" s="250"/>
      <c r="PQL60" s="250"/>
      <c r="PQM60" s="250"/>
      <c r="PQN60" s="250"/>
      <c r="PQO60" s="250"/>
      <c r="PQP60" s="250"/>
      <c r="PQQ60" s="250"/>
      <c r="PQR60" s="250"/>
      <c r="PQS60" s="250"/>
      <c r="PQT60" s="250"/>
      <c r="PQU60" s="250"/>
      <c r="PQV60" s="250"/>
      <c r="PQW60" s="250"/>
      <c r="PQX60" s="250"/>
      <c r="PQY60" s="250"/>
      <c r="PQZ60" s="250"/>
      <c r="PRA60" s="250"/>
      <c r="PRB60" s="250"/>
      <c r="PRC60" s="250"/>
      <c r="PRD60" s="250"/>
      <c r="PRE60" s="250"/>
      <c r="PRF60" s="250"/>
      <c r="PRG60" s="250"/>
      <c r="PRH60" s="250"/>
      <c r="PRI60" s="250"/>
      <c r="PRJ60" s="250"/>
      <c r="PRK60" s="250"/>
      <c r="PRL60" s="250"/>
      <c r="PRM60" s="250"/>
      <c r="PRN60" s="250"/>
      <c r="PRO60" s="250"/>
      <c r="PRP60" s="250"/>
      <c r="PRQ60" s="250"/>
      <c r="PRR60" s="250"/>
      <c r="PRS60" s="250"/>
      <c r="PRT60" s="250"/>
      <c r="PRU60" s="250"/>
      <c r="PRV60" s="250"/>
      <c r="PRW60" s="250"/>
      <c r="PRX60" s="250"/>
      <c r="PRY60" s="250"/>
      <c r="PRZ60" s="250"/>
      <c r="PSA60" s="250"/>
      <c r="PSB60" s="250"/>
      <c r="PSC60" s="250"/>
      <c r="PSD60" s="250"/>
      <c r="PSE60" s="250"/>
      <c r="PSF60" s="250"/>
      <c r="PSG60" s="250"/>
      <c r="PSH60" s="250"/>
      <c r="PSI60" s="250"/>
      <c r="PSJ60" s="250"/>
      <c r="PSK60" s="250"/>
      <c r="PSL60" s="250"/>
      <c r="PSM60" s="250"/>
      <c r="PSN60" s="250"/>
      <c r="PSO60" s="250"/>
      <c r="PSP60" s="250"/>
      <c r="PSQ60" s="250"/>
      <c r="PSR60" s="250"/>
      <c r="PSS60" s="250"/>
      <c r="PST60" s="250"/>
      <c r="PSU60" s="250"/>
      <c r="PSV60" s="250"/>
      <c r="PSW60" s="250"/>
      <c r="PSX60" s="250"/>
      <c r="PSY60" s="250"/>
      <c r="PSZ60" s="250"/>
      <c r="PTA60" s="250"/>
      <c r="PTB60" s="250"/>
      <c r="PTC60" s="250"/>
      <c r="PTD60" s="250"/>
      <c r="PTE60" s="250"/>
      <c r="PTF60" s="250"/>
      <c r="PTG60" s="250"/>
      <c r="PTH60" s="250"/>
      <c r="PTI60" s="250"/>
      <c r="PTJ60" s="250"/>
      <c r="PTK60" s="250"/>
      <c r="PTL60" s="250"/>
      <c r="PTM60" s="250"/>
      <c r="PTN60" s="250"/>
      <c r="PTO60" s="250"/>
      <c r="PTP60" s="250"/>
      <c r="PTQ60" s="250"/>
      <c r="PTR60" s="250"/>
      <c r="PTS60" s="250"/>
      <c r="PTT60" s="250"/>
      <c r="PTU60" s="250"/>
      <c r="PTV60" s="250"/>
      <c r="PTW60" s="250"/>
      <c r="PTX60" s="250"/>
      <c r="PTY60" s="250"/>
      <c r="PTZ60" s="250"/>
      <c r="PUA60" s="250"/>
      <c r="PUB60" s="250"/>
      <c r="PUC60" s="250"/>
      <c r="PUD60" s="250"/>
      <c r="PUE60" s="250"/>
      <c r="PUF60" s="250"/>
      <c r="PUG60" s="250"/>
      <c r="PUH60" s="250"/>
      <c r="PUI60" s="250"/>
      <c r="PUJ60" s="250"/>
      <c r="PUK60" s="250"/>
      <c r="PUL60" s="250"/>
      <c r="PUM60" s="250"/>
      <c r="PUN60" s="250"/>
      <c r="PUO60" s="250"/>
      <c r="PUP60" s="250"/>
      <c r="PUQ60" s="250"/>
      <c r="PUR60" s="250"/>
      <c r="PUS60" s="250"/>
      <c r="PUT60" s="250"/>
      <c r="PUU60" s="250"/>
      <c r="PUV60" s="250"/>
      <c r="PUW60" s="250"/>
      <c r="PUX60" s="250"/>
      <c r="PUY60" s="250"/>
      <c r="PUZ60" s="250"/>
      <c r="PVA60" s="250"/>
      <c r="PVB60" s="250"/>
      <c r="PVC60" s="250"/>
      <c r="PVD60" s="250"/>
      <c r="PVE60" s="250"/>
      <c r="PVF60" s="250"/>
      <c r="PVG60" s="250"/>
      <c r="PVH60" s="250"/>
      <c r="PVI60" s="250"/>
      <c r="PVJ60" s="250"/>
      <c r="PVK60" s="250"/>
      <c r="PVL60" s="250"/>
      <c r="PVM60" s="250"/>
      <c r="PVN60" s="250"/>
      <c r="PVO60" s="250"/>
      <c r="PVP60" s="250"/>
      <c r="PVQ60" s="250"/>
      <c r="PVR60" s="250"/>
      <c r="PVS60" s="250"/>
      <c r="PVT60" s="250"/>
      <c r="PVU60" s="250"/>
      <c r="PVV60" s="250"/>
      <c r="PVW60" s="250"/>
      <c r="PVX60" s="250"/>
      <c r="PVY60" s="250"/>
      <c r="PVZ60" s="250"/>
      <c r="PWA60" s="250"/>
      <c r="PWB60" s="250"/>
      <c r="PWC60" s="250"/>
      <c r="PWD60" s="250"/>
      <c r="PWE60" s="250"/>
      <c r="PWF60" s="250"/>
      <c r="PWG60" s="250"/>
      <c r="PWH60" s="250"/>
      <c r="PWI60" s="250"/>
      <c r="PWJ60" s="250"/>
      <c r="PWK60" s="250"/>
      <c r="PWL60" s="250"/>
      <c r="PWM60" s="250"/>
      <c r="PWN60" s="250"/>
      <c r="PWO60" s="250"/>
      <c r="PWP60" s="250"/>
      <c r="PWQ60" s="250"/>
      <c r="PWR60" s="250"/>
      <c r="PWS60" s="250"/>
      <c r="PWT60" s="250"/>
      <c r="PWU60" s="250"/>
      <c r="PWV60" s="250"/>
      <c r="PWW60" s="250"/>
      <c r="PWX60" s="250"/>
      <c r="PWY60" s="250"/>
      <c r="PWZ60" s="250"/>
      <c r="PXA60" s="250"/>
      <c r="PXB60" s="250"/>
      <c r="PXC60" s="250"/>
      <c r="PXD60" s="250"/>
      <c r="PXE60" s="250"/>
      <c r="PXF60" s="250"/>
      <c r="PXG60" s="250"/>
      <c r="PXH60" s="250"/>
      <c r="PXI60" s="250"/>
      <c r="PXJ60" s="250"/>
      <c r="PXK60" s="250"/>
      <c r="PXL60" s="250"/>
      <c r="PXM60" s="250"/>
      <c r="PXN60" s="250"/>
      <c r="PXO60" s="250"/>
      <c r="PXP60" s="250"/>
      <c r="PXQ60" s="250"/>
      <c r="PXR60" s="250"/>
      <c r="PXS60" s="250"/>
      <c r="PXT60" s="250"/>
      <c r="PXU60" s="250"/>
      <c r="PXV60" s="250"/>
      <c r="PXW60" s="250"/>
      <c r="PXX60" s="250"/>
      <c r="PXY60" s="250"/>
      <c r="PXZ60" s="250"/>
      <c r="PYA60" s="250"/>
      <c r="PYB60" s="250"/>
      <c r="PYC60" s="250"/>
      <c r="PYD60" s="250"/>
      <c r="PYE60" s="250"/>
      <c r="PYF60" s="250"/>
      <c r="PYG60" s="250"/>
      <c r="PYH60" s="250"/>
      <c r="PYI60" s="250"/>
      <c r="PYJ60" s="250"/>
      <c r="PYK60" s="250"/>
      <c r="PYL60" s="250"/>
      <c r="PYM60" s="250"/>
      <c r="PYN60" s="250"/>
      <c r="PYO60" s="250"/>
      <c r="PYP60" s="250"/>
      <c r="PYQ60" s="250"/>
      <c r="PYR60" s="250"/>
      <c r="PYS60" s="250"/>
      <c r="PYT60" s="250"/>
      <c r="PYU60" s="250"/>
      <c r="PYV60" s="250"/>
      <c r="PYW60" s="250"/>
      <c r="PYX60" s="250"/>
      <c r="PYY60" s="250"/>
      <c r="PYZ60" s="250"/>
      <c r="PZA60" s="250"/>
      <c r="PZB60" s="250"/>
      <c r="PZC60" s="250"/>
      <c r="PZD60" s="250"/>
      <c r="PZE60" s="250"/>
      <c r="PZF60" s="250"/>
      <c r="PZG60" s="250"/>
      <c r="PZH60" s="250"/>
      <c r="PZI60" s="250"/>
      <c r="PZJ60" s="250"/>
      <c r="PZK60" s="250"/>
      <c r="PZL60" s="250"/>
      <c r="PZM60" s="250"/>
      <c r="PZN60" s="250"/>
      <c r="PZO60" s="250"/>
      <c r="PZP60" s="250"/>
      <c r="PZQ60" s="250"/>
      <c r="PZR60" s="250"/>
      <c r="PZS60" s="250"/>
      <c r="PZT60" s="250"/>
      <c r="PZU60" s="250"/>
      <c r="PZV60" s="250"/>
      <c r="PZW60" s="250"/>
      <c r="PZX60" s="250"/>
      <c r="PZY60" s="250"/>
      <c r="PZZ60" s="250"/>
      <c r="QAA60" s="250"/>
      <c r="QAB60" s="250"/>
      <c r="QAC60" s="250"/>
      <c r="QAD60" s="250"/>
      <c r="QAE60" s="250"/>
      <c r="QAF60" s="250"/>
      <c r="QAG60" s="250"/>
      <c r="QAH60" s="250"/>
      <c r="QAI60" s="250"/>
      <c r="QAJ60" s="250"/>
      <c r="QAK60" s="250"/>
      <c r="QAL60" s="250"/>
      <c r="QAM60" s="250"/>
      <c r="QAN60" s="250"/>
      <c r="QAO60" s="250"/>
      <c r="QAP60" s="250"/>
      <c r="QAQ60" s="250"/>
      <c r="QAR60" s="250"/>
      <c r="QAS60" s="250"/>
      <c r="QAT60" s="250"/>
      <c r="QAU60" s="250"/>
      <c r="QAV60" s="250"/>
      <c r="QAW60" s="250"/>
      <c r="QAX60" s="250"/>
      <c r="QAY60" s="250"/>
      <c r="QAZ60" s="250"/>
      <c r="QBA60" s="250"/>
      <c r="QBB60" s="250"/>
      <c r="QBC60" s="250"/>
      <c r="QBD60" s="250"/>
      <c r="QBE60" s="250"/>
      <c r="QBF60" s="250"/>
      <c r="QBG60" s="250"/>
      <c r="QBH60" s="250"/>
      <c r="QBI60" s="250"/>
      <c r="QBJ60" s="250"/>
      <c r="QBK60" s="250"/>
      <c r="QBL60" s="250"/>
      <c r="QBM60" s="250"/>
      <c r="QBN60" s="250"/>
      <c r="QBO60" s="250"/>
      <c r="QBP60" s="250"/>
      <c r="QBQ60" s="250"/>
      <c r="QBR60" s="250"/>
      <c r="QBS60" s="250"/>
      <c r="QBT60" s="250"/>
      <c r="QBU60" s="250"/>
      <c r="QBV60" s="250"/>
      <c r="QBW60" s="250"/>
      <c r="QBX60" s="250"/>
      <c r="QBY60" s="250"/>
      <c r="QBZ60" s="250"/>
      <c r="QCA60" s="250"/>
      <c r="QCB60" s="250"/>
      <c r="QCC60" s="250"/>
      <c r="QCD60" s="250"/>
      <c r="QCE60" s="250"/>
      <c r="QCF60" s="250"/>
      <c r="QCG60" s="250"/>
      <c r="QCH60" s="250"/>
      <c r="QCI60" s="250"/>
      <c r="QCJ60" s="250"/>
      <c r="QCK60" s="250"/>
      <c r="QCL60" s="250"/>
      <c r="QCM60" s="250"/>
      <c r="QCN60" s="250"/>
      <c r="QCO60" s="250"/>
      <c r="QCP60" s="250"/>
      <c r="QCQ60" s="250"/>
      <c r="QCR60" s="250"/>
      <c r="QCS60" s="250"/>
      <c r="QCT60" s="250"/>
      <c r="QCU60" s="250"/>
      <c r="QCV60" s="250"/>
      <c r="QCW60" s="250"/>
      <c r="QCX60" s="250"/>
      <c r="QCY60" s="250"/>
      <c r="QCZ60" s="250"/>
      <c r="QDA60" s="250"/>
      <c r="QDB60" s="250"/>
      <c r="QDC60" s="250"/>
      <c r="QDD60" s="250"/>
      <c r="QDE60" s="250"/>
      <c r="QDF60" s="250"/>
      <c r="QDG60" s="250"/>
      <c r="QDH60" s="250"/>
      <c r="QDI60" s="250"/>
      <c r="QDJ60" s="250"/>
      <c r="QDK60" s="250"/>
      <c r="QDL60" s="250"/>
      <c r="QDM60" s="250"/>
      <c r="QDN60" s="250"/>
      <c r="QDO60" s="250"/>
      <c r="QDP60" s="250"/>
      <c r="QDQ60" s="250"/>
      <c r="QDR60" s="250"/>
      <c r="QDS60" s="250"/>
      <c r="QDT60" s="250"/>
      <c r="QDU60" s="250"/>
      <c r="QDV60" s="250"/>
      <c r="QDW60" s="250"/>
      <c r="QDX60" s="250"/>
      <c r="QDY60" s="250"/>
      <c r="QDZ60" s="250"/>
      <c r="QEA60" s="250"/>
      <c r="QEB60" s="250"/>
      <c r="QEC60" s="250"/>
      <c r="QED60" s="250"/>
      <c r="QEE60" s="250"/>
      <c r="QEF60" s="250"/>
      <c r="QEG60" s="250"/>
      <c r="QEH60" s="250"/>
      <c r="QEI60" s="250"/>
      <c r="QEJ60" s="250"/>
      <c r="QEK60" s="250"/>
      <c r="QEL60" s="250"/>
      <c r="QEM60" s="250"/>
      <c r="QEN60" s="250"/>
      <c r="QEO60" s="250"/>
      <c r="QEP60" s="250"/>
      <c r="QEQ60" s="250"/>
      <c r="QER60" s="250"/>
      <c r="QES60" s="250"/>
      <c r="QET60" s="250"/>
      <c r="QEU60" s="250"/>
      <c r="QEV60" s="250"/>
      <c r="QEW60" s="250"/>
      <c r="QEX60" s="250"/>
      <c r="QEY60" s="250"/>
      <c r="QEZ60" s="250"/>
      <c r="QFA60" s="250"/>
      <c r="QFB60" s="250"/>
      <c r="QFC60" s="250"/>
      <c r="QFD60" s="250"/>
      <c r="QFE60" s="250"/>
      <c r="QFF60" s="250"/>
      <c r="QFG60" s="250"/>
      <c r="QFH60" s="250"/>
      <c r="QFI60" s="250"/>
      <c r="QFJ60" s="250"/>
      <c r="QFK60" s="250"/>
      <c r="QFL60" s="250"/>
      <c r="QFM60" s="250"/>
      <c r="QFN60" s="250"/>
      <c r="QFO60" s="250"/>
      <c r="QFP60" s="250"/>
      <c r="QFQ60" s="250"/>
      <c r="QFR60" s="250"/>
      <c r="QFS60" s="250"/>
      <c r="QFT60" s="250"/>
      <c r="QFU60" s="250"/>
      <c r="QFV60" s="250"/>
      <c r="QFW60" s="250"/>
      <c r="QFX60" s="250"/>
      <c r="QFY60" s="250"/>
      <c r="QFZ60" s="250"/>
      <c r="QGA60" s="250"/>
      <c r="QGB60" s="250"/>
      <c r="QGC60" s="250"/>
      <c r="QGD60" s="250"/>
      <c r="QGE60" s="250"/>
      <c r="QGF60" s="250"/>
      <c r="QGG60" s="250"/>
      <c r="QGH60" s="250"/>
      <c r="QGI60" s="250"/>
      <c r="QGJ60" s="250"/>
      <c r="QGK60" s="250"/>
      <c r="QGL60" s="250"/>
      <c r="QGM60" s="250"/>
      <c r="QGN60" s="250"/>
      <c r="QGO60" s="250"/>
      <c r="QGP60" s="250"/>
      <c r="QGQ60" s="250"/>
      <c r="QGR60" s="250"/>
      <c r="QGS60" s="250"/>
      <c r="QGT60" s="250"/>
      <c r="QGU60" s="250"/>
      <c r="QGV60" s="250"/>
      <c r="QGW60" s="250"/>
      <c r="QGX60" s="250"/>
      <c r="QGY60" s="250"/>
      <c r="QGZ60" s="250"/>
      <c r="QHA60" s="250"/>
      <c r="QHB60" s="250"/>
      <c r="QHC60" s="250"/>
      <c r="QHD60" s="250"/>
      <c r="QHE60" s="250"/>
      <c r="QHF60" s="250"/>
      <c r="QHG60" s="250"/>
      <c r="QHH60" s="250"/>
      <c r="QHI60" s="250"/>
      <c r="QHJ60" s="250"/>
      <c r="QHK60" s="250"/>
      <c r="QHL60" s="250"/>
      <c r="QHM60" s="250"/>
      <c r="QHN60" s="250"/>
      <c r="QHO60" s="250"/>
      <c r="QHP60" s="250"/>
      <c r="QHQ60" s="250"/>
      <c r="QHR60" s="250"/>
      <c r="QHS60" s="250"/>
      <c r="QHT60" s="250"/>
      <c r="QHU60" s="250"/>
      <c r="QHV60" s="250"/>
      <c r="QHW60" s="250"/>
      <c r="QHX60" s="250"/>
      <c r="QHY60" s="250"/>
      <c r="QHZ60" s="250"/>
      <c r="QIA60" s="250"/>
      <c r="QIB60" s="250"/>
      <c r="QIC60" s="250"/>
      <c r="QID60" s="250"/>
      <c r="QIE60" s="250"/>
      <c r="QIF60" s="250"/>
      <c r="QIG60" s="250"/>
      <c r="QIH60" s="250"/>
      <c r="QII60" s="250"/>
      <c r="QIJ60" s="250"/>
      <c r="QIK60" s="250"/>
      <c r="QIL60" s="250"/>
      <c r="QIM60" s="250"/>
      <c r="QIN60" s="250"/>
      <c r="QIO60" s="250"/>
      <c r="QIP60" s="250"/>
      <c r="QIQ60" s="250"/>
      <c r="QIR60" s="250"/>
      <c r="QIS60" s="250"/>
      <c r="QIT60" s="250"/>
      <c r="QIU60" s="250"/>
      <c r="QIV60" s="250"/>
      <c r="QIW60" s="250"/>
      <c r="QIX60" s="250"/>
      <c r="QIY60" s="250"/>
      <c r="QIZ60" s="250"/>
      <c r="QJA60" s="250"/>
      <c r="QJB60" s="250"/>
      <c r="QJC60" s="250"/>
      <c r="QJD60" s="250"/>
      <c r="QJE60" s="250"/>
      <c r="QJF60" s="250"/>
      <c r="QJG60" s="250"/>
      <c r="QJH60" s="250"/>
      <c r="QJI60" s="250"/>
      <c r="QJJ60" s="250"/>
      <c r="QJK60" s="250"/>
      <c r="QJL60" s="250"/>
      <c r="QJM60" s="250"/>
      <c r="QJN60" s="250"/>
      <c r="QJO60" s="250"/>
      <c r="QJP60" s="250"/>
      <c r="QJQ60" s="250"/>
      <c r="QJR60" s="250"/>
      <c r="QJS60" s="250"/>
      <c r="QJT60" s="250"/>
      <c r="QJU60" s="250"/>
      <c r="QJV60" s="250"/>
      <c r="QJW60" s="250"/>
      <c r="QJX60" s="250"/>
      <c r="QJY60" s="250"/>
      <c r="QJZ60" s="250"/>
      <c r="QKA60" s="250"/>
      <c r="QKB60" s="250"/>
      <c r="QKC60" s="250"/>
      <c r="QKD60" s="250"/>
      <c r="QKE60" s="250"/>
      <c r="QKF60" s="250"/>
      <c r="QKG60" s="250"/>
      <c r="QKH60" s="250"/>
      <c r="QKI60" s="250"/>
      <c r="QKJ60" s="250"/>
      <c r="QKK60" s="250"/>
      <c r="QKL60" s="250"/>
      <c r="QKM60" s="250"/>
      <c r="QKN60" s="250"/>
      <c r="QKO60" s="250"/>
      <c r="QKP60" s="250"/>
      <c r="QKQ60" s="250"/>
      <c r="QKR60" s="250"/>
      <c r="QKS60" s="250"/>
      <c r="QKT60" s="250"/>
      <c r="QKU60" s="250"/>
      <c r="QKV60" s="250"/>
      <c r="QKW60" s="250"/>
      <c r="QKX60" s="250"/>
      <c r="QKY60" s="250"/>
      <c r="QKZ60" s="250"/>
      <c r="QLA60" s="250"/>
      <c r="QLB60" s="250"/>
      <c r="QLC60" s="250"/>
      <c r="QLD60" s="250"/>
      <c r="QLE60" s="250"/>
      <c r="QLF60" s="250"/>
      <c r="QLG60" s="250"/>
      <c r="QLH60" s="250"/>
      <c r="QLI60" s="250"/>
      <c r="QLJ60" s="250"/>
      <c r="QLK60" s="250"/>
      <c r="QLL60" s="250"/>
      <c r="QLM60" s="250"/>
      <c r="QLN60" s="250"/>
      <c r="QLO60" s="250"/>
      <c r="QLP60" s="250"/>
      <c r="QLQ60" s="250"/>
      <c r="QLR60" s="250"/>
      <c r="QLS60" s="250"/>
      <c r="QLT60" s="250"/>
      <c r="QLU60" s="250"/>
      <c r="QLV60" s="250"/>
      <c r="QLW60" s="250"/>
      <c r="QLX60" s="250"/>
      <c r="QLY60" s="250"/>
      <c r="QLZ60" s="250"/>
      <c r="QMA60" s="250"/>
      <c r="QMB60" s="250"/>
      <c r="QMC60" s="250"/>
      <c r="QMD60" s="250"/>
      <c r="QME60" s="250"/>
      <c r="QMF60" s="250"/>
      <c r="QMG60" s="250"/>
      <c r="QMH60" s="250"/>
      <c r="QMI60" s="250"/>
      <c r="QMJ60" s="250"/>
      <c r="QMK60" s="250"/>
      <c r="QML60" s="250"/>
      <c r="QMM60" s="250"/>
      <c r="QMN60" s="250"/>
      <c r="QMO60" s="250"/>
      <c r="QMP60" s="250"/>
      <c r="QMQ60" s="250"/>
      <c r="QMR60" s="250"/>
      <c r="QMS60" s="250"/>
      <c r="QMT60" s="250"/>
      <c r="QMU60" s="250"/>
      <c r="QMV60" s="250"/>
      <c r="QMW60" s="250"/>
      <c r="QMX60" s="250"/>
      <c r="QMY60" s="250"/>
      <c r="QMZ60" s="250"/>
      <c r="QNA60" s="250"/>
      <c r="QNB60" s="250"/>
      <c r="QNC60" s="250"/>
      <c r="QND60" s="250"/>
      <c r="QNE60" s="250"/>
      <c r="QNF60" s="250"/>
      <c r="QNG60" s="250"/>
      <c r="QNH60" s="250"/>
      <c r="QNI60" s="250"/>
      <c r="QNJ60" s="250"/>
      <c r="QNK60" s="250"/>
      <c r="QNL60" s="250"/>
      <c r="QNM60" s="250"/>
      <c r="QNN60" s="250"/>
      <c r="QNO60" s="250"/>
      <c r="QNP60" s="250"/>
      <c r="QNQ60" s="250"/>
      <c r="QNR60" s="250"/>
      <c r="QNS60" s="250"/>
      <c r="QNT60" s="250"/>
      <c r="QNU60" s="250"/>
      <c r="QNV60" s="250"/>
      <c r="QNW60" s="250"/>
      <c r="QNX60" s="250"/>
      <c r="QNY60" s="250"/>
      <c r="QNZ60" s="250"/>
      <c r="QOA60" s="250"/>
      <c r="QOB60" s="250"/>
      <c r="QOC60" s="250"/>
      <c r="QOD60" s="250"/>
      <c r="QOE60" s="250"/>
      <c r="QOF60" s="250"/>
      <c r="QOG60" s="250"/>
      <c r="QOH60" s="250"/>
      <c r="QOI60" s="250"/>
      <c r="QOJ60" s="250"/>
      <c r="QOK60" s="250"/>
      <c r="QOL60" s="250"/>
      <c r="QOM60" s="250"/>
      <c r="QON60" s="250"/>
      <c r="QOO60" s="250"/>
      <c r="QOP60" s="250"/>
      <c r="QOQ60" s="250"/>
      <c r="QOR60" s="250"/>
      <c r="QOS60" s="250"/>
      <c r="QOT60" s="250"/>
      <c r="QOU60" s="250"/>
      <c r="QOV60" s="250"/>
      <c r="QOW60" s="250"/>
      <c r="QOX60" s="250"/>
      <c r="QOY60" s="250"/>
      <c r="QOZ60" s="250"/>
      <c r="QPA60" s="250"/>
      <c r="QPB60" s="250"/>
      <c r="QPC60" s="250"/>
      <c r="QPD60" s="250"/>
      <c r="QPE60" s="250"/>
      <c r="QPF60" s="250"/>
      <c r="QPG60" s="250"/>
      <c r="QPH60" s="250"/>
      <c r="QPI60" s="250"/>
      <c r="QPJ60" s="250"/>
      <c r="QPK60" s="250"/>
      <c r="QPL60" s="250"/>
      <c r="QPM60" s="250"/>
      <c r="QPN60" s="250"/>
      <c r="QPO60" s="250"/>
      <c r="QPP60" s="250"/>
      <c r="QPQ60" s="250"/>
      <c r="QPR60" s="250"/>
      <c r="QPS60" s="250"/>
      <c r="QPT60" s="250"/>
      <c r="QPU60" s="250"/>
      <c r="QPV60" s="250"/>
      <c r="QPW60" s="250"/>
      <c r="QPX60" s="250"/>
      <c r="QPY60" s="250"/>
      <c r="QPZ60" s="250"/>
      <c r="QQA60" s="250"/>
      <c r="QQB60" s="250"/>
      <c r="QQC60" s="250"/>
      <c r="QQD60" s="250"/>
      <c r="QQE60" s="250"/>
      <c r="QQF60" s="250"/>
      <c r="QQG60" s="250"/>
      <c r="QQH60" s="250"/>
      <c r="QQI60" s="250"/>
      <c r="QQJ60" s="250"/>
      <c r="QQK60" s="250"/>
      <c r="QQL60" s="250"/>
      <c r="QQM60" s="250"/>
      <c r="QQN60" s="250"/>
      <c r="QQO60" s="250"/>
      <c r="QQP60" s="250"/>
      <c r="QQQ60" s="250"/>
      <c r="QQR60" s="250"/>
      <c r="QQS60" s="250"/>
      <c r="QQT60" s="250"/>
      <c r="QQU60" s="250"/>
      <c r="QQV60" s="250"/>
      <c r="QQW60" s="250"/>
      <c r="QQX60" s="250"/>
      <c r="QQY60" s="250"/>
      <c r="QQZ60" s="250"/>
      <c r="QRA60" s="250"/>
      <c r="QRB60" s="250"/>
      <c r="QRC60" s="250"/>
      <c r="QRD60" s="250"/>
      <c r="QRE60" s="250"/>
      <c r="QRF60" s="250"/>
      <c r="QRG60" s="250"/>
      <c r="QRH60" s="250"/>
      <c r="QRI60" s="250"/>
      <c r="QRJ60" s="250"/>
      <c r="QRK60" s="250"/>
      <c r="QRL60" s="250"/>
      <c r="QRM60" s="250"/>
      <c r="QRN60" s="250"/>
      <c r="QRO60" s="250"/>
      <c r="QRP60" s="250"/>
      <c r="QRQ60" s="250"/>
      <c r="QRR60" s="250"/>
      <c r="QRS60" s="250"/>
      <c r="QRT60" s="250"/>
      <c r="QRU60" s="250"/>
      <c r="QRV60" s="250"/>
      <c r="QRW60" s="250"/>
      <c r="QRX60" s="250"/>
      <c r="QRY60" s="250"/>
      <c r="QRZ60" s="250"/>
      <c r="QSA60" s="250"/>
      <c r="QSB60" s="250"/>
      <c r="QSC60" s="250"/>
      <c r="QSD60" s="250"/>
      <c r="QSE60" s="250"/>
      <c r="QSF60" s="250"/>
      <c r="QSG60" s="250"/>
      <c r="QSH60" s="250"/>
      <c r="QSI60" s="250"/>
      <c r="QSJ60" s="250"/>
      <c r="QSK60" s="250"/>
      <c r="QSL60" s="250"/>
      <c r="QSM60" s="250"/>
      <c r="QSN60" s="250"/>
      <c r="QSO60" s="250"/>
      <c r="QSP60" s="250"/>
      <c r="QSQ60" s="250"/>
      <c r="QSR60" s="250"/>
      <c r="QSS60" s="250"/>
      <c r="QST60" s="250"/>
      <c r="QSU60" s="250"/>
      <c r="QSV60" s="250"/>
      <c r="QSW60" s="250"/>
      <c r="QSX60" s="250"/>
      <c r="QSY60" s="250"/>
      <c r="QSZ60" s="250"/>
      <c r="QTA60" s="250"/>
      <c r="QTB60" s="250"/>
      <c r="QTC60" s="250"/>
      <c r="QTD60" s="250"/>
      <c r="QTE60" s="250"/>
      <c r="QTF60" s="250"/>
      <c r="QTG60" s="250"/>
      <c r="QTH60" s="250"/>
      <c r="QTI60" s="250"/>
      <c r="QTJ60" s="250"/>
      <c r="QTK60" s="250"/>
      <c r="QTL60" s="250"/>
      <c r="QTM60" s="250"/>
      <c r="QTN60" s="250"/>
      <c r="QTO60" s="250"/>
      <c r="QTP60" s="250"/>
      <c r="QTQ60" s="250"/>
      <c r="QTR60" s="250"/>
      <c r="QTS60" s="250"/>
      <c r="QTT60" s="250"/>
      <c r="QTU60" s="250"/>
      <c r="QTV60" s="250"/>
      <c r="QTW60" s="250"/>
      <c r="QTX60" s="250"/>
      <c r="QTY60" s="250"/>
      <c r="QTZ60" s="250"/>
      <c r="QUA60" s="250"/>
      <c r="QUB60" s="250"/>
      <c r="QUC60" s="250"/>
      <c r="QUD60" s="250"/>
      <c r="QUE60" s="250"/>
      <c r="QUF60" s="250"/>
      <c r="QUG60" s="250"/>
      <c r="QUH60" s="250"/>
      <c r="QUI60" s="250"/>
      <c r="QUJ60" s="250"/>
      <c r="QUK60" s="250"/>
      <c r="QUL60" s="250"/>
      <c r="QUM60" s="250"/>
      <c r="QUN60" s="250"/>
      <c r="QUO60" s="250"/>
      <c r="QUP60" s="250"/>
      <c r="QUQ60" s="250"/>
      <c r="QUR60" s="250"/>
      <c r="QUS60" s="250"/>
      <c r="QUT60" s="250"/>
      <c r="QUU60" s="250"/>
      <c r="QUV60" s="250"/>
      <c r="QUW60" s="250"/>
      <c r="QUX60" s="250"/>
      <c r="QUY60" s="250"/>
      <c r="QUZ60" s="250"/>
      <c r="QVA60" s="250"/>
      <c r="QVB60" s="250"/>
      <c r="QVC60" s="250"/>
      <c r="QVD60" s="250"/>
      <c r="QVE60" s="250"/>
      <c r="QVF60" s="250"/>
      <c r="QVG60" s="250"/>
      <c r="QVH60" s="250"/>
      <c r="QVI60" s="250"/>
      <c r="QVJ60" s="250"/>
      <c r="QVK60" s="250"/>
      <c r="QVL60" s="250"/>
      <c r="QVM60" s="250"/>
      <c r="QVN60" s="250"/>
      <c r="QVO60" s="250"/>
      <c r="QVP60" s="250"/>
      <c r="QVQ60" s="250"/>
      <c r="QVR60" s="250"/>
      <c r="QVS60" s="250"/>
      <c r="QVT60" s="250"/>
      <c r="QVU60" s="250"/>
      <c r="QVV60" s="250"/>
      <c r="QVW60" s="250"/>
      <c r="QVX60" s="250"/>
      <c r="QVY60" s="250"/>
      <c r="QVZ60" s="250"/>
      <c r="QWA60" s="250"/>
      <c r="QWB60" s="250"/>
      <c r="QWC60" s="250"/>
      <c r="QWD60" s="250"/>
      <c r="QWE60" s="250"/>
      <c r="QWF60" s="250"/>
      <c r="QWG60" s="250"/>
      <c r="QWH60" s="250"/>
      <c r="QWI60" s="250"/>
      <c r="QWJ60" s="250"/>
      <c r="QWK60" s="250"/>
      <c r="QWL60" s="250"/>
      <c r="QWM60" s="250"/>
      <c r="QWN60" s="250"/>
      <c r="QWO60" s="250"/>
      <c r="QWP60" s="250"/>
      <c r="QWQ60" s="250"/>
      <c r="QWR60" s="250"/>
      <c r="QWS60" s="250"/>
      <c r="QWT60" s="250"/>
      <c r="QWU60" s="250"/>
      <c r="QWV60" s="250"/>
      <c r="QWW60" s="250"/>
      <c r="QWX60" s="250"/>
      <c r="QWY60" s="250"/>
      <c r="QWZ60" s="250"/>
      <c r="QXA60" s="250"/>
      <c r="QXB60" s="250"/>
      <c r="QXC60" s="250"/>
      <c r="QXD60" s="250"/>
      <c r="QXE60" s="250"/>
      <c r="QXF60" s="250"/>
      <c r="QXG60" s="250"/>
      <c r="QXH60" s="250"/>
      <c r="QXI60" s="250"/>
      <c r="QXJ60" s="250"/>
      <c r="QXK60" s="250"/>
      <c r="QXL60" s="250"/>
      <c r="QXM60" s="250"/>
      <c r="QXN60" s="250"/>
      <c r="QXO60" s="250"/>
      <c r="QXP60" s="250"/>
      <c r="QXQ60" s="250"/>
      <c r="QXR60" s="250"/>
      <c r="QXS60" s="250"/>
      <c r="QXT60" s="250"/>
      <c r="QXU60" s="250"/>
      <c r="QXV60" s="250"/>
      <c r="QXW60" s="250"/>
      <c r="QXX60" s="250"/>
      <c r="QXY60" s="250"/>
      <c r="QXZ60" s="250"/>
      <c r="QYA60" s="250"/>
      <c r="QYB60" s="250"/>
      <c r="QYC60" s="250"/>
      <c r="QYD60" s="250"/>
      <c r="QYE60" s="250"/>
      <c r="QYF60" s="250"/>
      <c r="QYG60" s="250"/>
      <c r="QYH60" s="250"/>
      <c r="QYI60" s="250"/>
      <c r="QYJ60" s="250"/>
      <c r="QYK60" s="250"/>
      <c r="QYL60" s="250"/>
      <c r="QYM60" s="250"/>
      <c r="QYN60" s="250"/>
      <c r="QYO60" s="250"/>
      <c r="QYP60" s="250"/>
      <c r="QYQ60" s="250"/>
      <c r="QYR60" s="250"/>
      <c r="QYS60" s="250"/>
      <c r="QYT60" s="250"/>
      <c r="QYU60" s="250"/>
      <c r="QYV60" s="250"/>
      <c r="QYW60" s="250"/>
      <c r="QYX60" s="250"/>
      <c r="QYY60" s="250"/>
      <c r="QYZ60" s="250"/>
      <c r="QZA60" s="250"/>
      <c r="QZB60" s="250"/>
      <c r="QZC60" s="250"/>
      <c r="QZD60" s="250"/>
      <c r="QZE60" s="250"/>
      <c r="QZF60" s="250"/>
      <c r="QZG60" s="250"/>
      <c r="QZH60" s="250"/>
      <c r="QZI60" s="250"/>
      <c r="QZJ60" s="250"/>
      <c r="QZK60" s="250"/>
      <c r="QZL60" s="250"/>
      <c r="QZM60" s="250"/>
      <c r="QZN60" s="250"/>
      <c r="QZO60" s="250"/>
      <c r="QZP60" s="250"/>
      <c r="QZQ60" s="250"/>
      <c r="QZR60" s="250"/>
      <c r="QZS60" s="250"/>
      <c r="QZT60" s="250"/>
      <c r="QZU60" s="250"/>
      <c r="QZV60" s="250"/>
      <c r="QZW60" s="250"/>
      <c r="QZX60" s="250"/>
      <c r="QZY60" s="250"/>
      <c r="QZZ60" s="250"/>
      <c r="RAA60" s="250"/>
      <c r="RAB60" s="250"/>
      <c r="RAC60" s="250"/>
      <c r="RAD60" s="250"/>
      <c r="RAE60" s="250"/>
      <c r="RAF60" s="250"/>
      <c r="RAG60" s="250"/>
      <c r="RAH60" s="250"/>
      <c r="RAI60" s="250"/>
      <c r="RAJ60" s="250"/>
      <c r="RAK60" s="250"/>
      <c r="RAL60" s="250"/>
      <c r="RAM60" s="250"/>
      <c r="RAN60" s="250"/>
      <c r="RAO60" s="250"/>
      <c r="RAP60" s="250"/>
      <c r="RAQ60" s="250"/>
      <c r="RAR60" s="250"/>
      <c r="RAS60" s="250"/>
      <c r="RAT60" s="250"/>
      <c r="RAU60" s="250"/>
      <c r="RAV60" s="250"/>
      <c r="RAW60" s="250"/>
      <c r="RAX60" s="250"/>
      <c r="RAY60" s="250"/>
      <c r="RAZ60" s="250"/>
      <c r="RBA60" s="250"/>
      <c r="RBB60" s="250"/>
      <c r="RBC60" s="250"/>
      <c r="RBD60" s="250"/>
      <c r="RBE60" s="250"/>
      <c r="RBF60" s="250"/>
      <c r="RBG60" s="250"/>
      <c r="RBH60" s="250"/>
      <c r="RBI60" s="250"/>
      <c r="RBJ60" s="250"/>
      <c r="RBK60" s="250"/>
      <c r="RBL60" s="250"/>
      <c r="RBM60" s="250"/>
      <c r="RBN60" s="250"/>
      <c r="RBO60" s="250"/>
      <c r="RBP60" s="250"/>
      <c r="RBQ60" s="250"/>
      <c r="RBR60" s="250"/>
      <c r="RBS60" s="250"/>
      <c r="RBT60" s="250"/>
      <c r="RBU60" s="250"/>
      <c r="RBV60" s="250"/>
      <c r="RBW60" s="250"/>
      <c r="RBX60" s="250"/>
      <c r="RBY60" s="250"/>
      <c r="RBZ60" s="250"/>
      <c r="RCA60" s="250"/>
      <c r="RCB60" s="250"/>
      <c r="RCC60" s="250"/>
      <c r="RCD60" s="250"/>
      <c r="RCE60" s="250"/>
      <c r="RCF60" s="250"/>
      <c r="RCG60" s="250"/>
      <c r="RCH60" s="250"/>
      <c r="RCI60" s="250"/>
      <c r="RCJ60" s="250"/>
      <c r="RCK60" s="250"/>
      <c r="RCL60" s="250"/>
      <c r="RCM60" s="250"/>
      <c r="RCN60" s="250"/>
      <c r="RCO60" s="250"/>
      <c r="RCP60" s="250"/>
      <c r="RCQ60" s="250"/>
      <c r="RCR60" s="250"/>
      <c r="RCS60" s="250"/>
      <c r="RCT60" s="250"/>
      <c r="RCU60" s="250"/>
      <c r="RCV60" s="250"/>
      <c r="RCW60" s="250"/>
      <c r="RCX60" s="250"/>
      <c r="RCY60" s="250"/>
      <c r="RCZ60" s="250"/>
      <c r="RDA60" s="250"/>
      <c r="RDB60" s="250"/>
      <c r="RDC60" s="250"/>
      <c r="RDD60" s="250"/>
      <c r="RDE60" s="250"/>
      <c r="RDF60" s="250"/>
      <c r="RDG60" s="250"/>
      <c r="RDH60" s="250"/>
      <c r="RDI60" s="250"/>
      <c r="RDJ60" s="250"/>
      <c r="RDK60" s="250"/>
      <c r="RDL60" s="250"/>
      <c r="RDM60" s="250"/>
      <c r="RDN60" s="250"/>
      <c r="RDO60" s="250"/>
      <c r="RDP60" s="250"/>
      <c r="RDQ60" s="250"/>
      <c r="RDR60" s="250"/>
      <c r="RDS60" s="250"/>
      <c r="RDT60" s="250"/>
      <c r="RDU60" s="250"/>
      <c r="RDV60" s="250"/>
      <c r="RDW60" s="250"/>
      <c r="RDX60" s="250"/>
      <c r="RDY60" s="250"/>
      <c r="RDZ60" s="250"/>
      <c r="REA60" s="250"/>
      <c r="REB60" s="250"/>
      <c r="REC60" s="250"/>
      <c r="RED60" s="250"/>
      <c r="REE60" s="250"/>
      <c r="REF60" s="250"/>
      <c r="REG60" s="250"/>
      <c r="REH60" s="250"/>
      <c r="REI60" s="250"/>
      <c r="REJ60" s="250"/>
      <c r="REK60" s="250"/>
      <c r="REL60" s="250"/>
      <c r="REM60" s="250"/>
      <c r="REN60" s="250"/>
      <c r="REO60" s="250"/>
      <c r="REP60" s="250"/>
      <c r="REQ60" s="250"/>
      <c r="RER60" s="250"/>
      <c r="RES60" s="250"/>
      <c r="RET60" s="250"/>
      <c r="REU60" s="250"/>
      <c r="REV60" s="250"/>
      <c r="REW60" s="250"/>
      <c r="REX60" s="250"/>
      <c r="REY60" s="250"/>
      <c r="REZ60" s="250"/>
      <c r="RFA60" s="250"/>
      <c r="RFB60" s="250"/>
      <c r="RFC60" s="250"/>
      <c r="RFD60" s="250"/>
      <c r="RFE60" s="250"/>
      <c r="RFF60" s="250"/>
      <c r="RFG60" s="250"/>
      <c r="RFH60" s="250"/>
      <c r="RFI60" s="250"/>
      <c r="RFJ60" s="250"/>
      <c r="RFK60" s="250"/>
      <c r="RFL60" s="250"/>
      <c r="RFM60" s="250"/>
      <c r="RFN60" s="250"/>
      <c r="RFO60" s="250"/>
      <c r="RFP60" s="250"/>
      <c r="RFQ60" s="250"/>
      <c r="RFR60" s="250"/>
      <c r="RFS60" s="250"/>
      <c r="RFT60" s="250"/>
      <c r="RFU60" s="250"/>
      <c r="RFV60" s="250"/>
      <c r="RFW60" s="250"/>
      <c r="RFX60" s="250"/>
      <c r="RFY60" s="250"/>
      <c r="RFZ60" s="250"/>
      <c r="RGA60" s="250"/>
      <c r="RGB60" s="250"/>
      <c r="RGC60" s="250"/>
      <c r="RGD60" s="250"/>
      <c r="RGE60" s="250"/>
      <c r="RGF60" s="250"/>
      <c r="RGG60" s="250"/>
      <c r="RGH60" s="250"/>
      <c r="RGI60" s="250"/>
      <c r="RGJ60" s="250"/>
      <c r="RGK60" s="250"/>
      <c r="RGL60" s="250"/>
      <c r="RGM60" s="250"/>
      <c r="RGN60" s="250"/>
      <c r="RGO60" s="250"/>
      <c r="RGP60" s="250"/>
      <c r="RGQ60" s="250"/>
      <c r="RGR60" s="250"/>
      <c r="RGS60" s="250"/>
      <c r="RGT60" s="250"/>
      <c r="RGU60" s="250"/>
      <c r="RGV60" s="250"/>
      <c r="RGW60" s="250"/>
      <c r="RGX60" s="250"/>
      <c r="RGY60" s="250"/>
      <c r="RGZ60" s="250"/>
      <c r="RHA60" s="250"/>
      <c r="RHB60" s="250"/>
      <c r="RHC60" s="250"/>
      <c r="RHD60" s="250"/>
      <c r="RHE60" s="250"/>
      <c r="RHF60" s="250"/>
      <c r="RHG60" s="250"/>
      <c r="RHH60" s="250"/>
      <c r="RHI60" s="250"/>
      <c r="RHJ60" s="250"/>
      <c r="RHK60" s="250"/>
      <c r="RHL60" s="250"/>
      <c r="RHM60" s="250"/>
      <c r="RHN60" s="250"/>
      <c r="RHO60" s="250"/>
      <c r="RHP60" s="250"/>
      <c r="RHQ60" s="250"/>
      <c r="RHR60" s="250"/>
      <c r="RHS60" s="250"/>
      <c r="RHT60" s="250"/>
      <c r="RHU60" s="250"/>
      <c r="RHV60" s="250"/>
      <c r="RHW60" s="250"/>
      <c r="RHX60" s="250"/>
      <c r="RHY60" s="250"/>
      <c r="RHZ60" s="250"/>
      <c r="RIA60" s="250"/>
      <c r="RIB60" s="250"/>
      <c r="RIC60" s="250"/>
      <c r="RID60" s="250"/>
      <c r="RIE60" s="250"/>
      <c r="RIF60" s="250"/>
      <c r="RIG60" s="250"/>
      <c r="RIH60" s="250"/>
      <c r="RII60" s="250"/>
      <c r="RIJ60" s="250"/>
      <c r="RIK60" s="250"/>
      <c r="RIL60" s="250"/>
      <c r="RIM60" s="250"/>
      <c r="RIN60" s="250"/>
      <c r="RIO60" s="250"/>
      <c r="RIP60" s="250"/>
      <c r="RIQ60" s="250"/>
      <c r="RIR60" s="250"/>
      <c r="RIS60" s="250"/>
      <c r="RIT60" s="250"/>
      <c r="RIU60" s="250"/>
      <c r="RIV60" s="250"/>
      <c r="RIW60" s="250"/>
      <c r="RIX60" s="250"/>
      <c r="RIY60" s="250"/>
      <c r="RIZ60" s="250"/>
      <c r="RJA60" s="250"/>
      <c r="RJB60" s="250"/>
      <c r="RJC60" s="250"/>
      <c r="RJD60" s="250"/>
      <c r="RJE60" s="250"/>
      <c r="RJF60" s="250"/>
      <c r="RJG60" s="250"/>
      <c r="RJH60" s="250"/>
      <c r="RJI60" s="250"/>
      <c r="RJJ60" s="250"/>
      <c r="RJK60" s="250"/>
      <c r="RJL60" s="250"/>
      <c r="RJM60" s="250"/>
      <c r="RJN60" s="250"/>
      <c r="RJO60" s="250"/>
      <c r="RJP60" s="250"/>
      <c r="RJQ60" s="250"/>
      <c r="RJR60" s="250"/>
      <c r="RJS60" s="250"/>
      <c r="RJT60" s="250"/>
      <c r="RJU60" s="250"/>
      <c r="RJV60" s="250"/>
      <c r="RJW60" s="250"/>
      <c r="RJX60" s="250"/>
      <c r="RJY60" s="250"/>
      <c r="RJZ60" s="250"/>
      <c r="RKA60" s="250"/>
      <c r="RKB60" s="250"/>
      <c r="RKC60" s="250"/>
      <c r="RKD60" s="250"/>
      <c r="RKE60" s="250"/>
      <c r="RKF60" s="250"/>
      <c r="RKG60" s="250"/>
      <c r="RKH60" s="250"/>
      <c r="RKI60" s="250"/>
      <c r="RKJ60" s="250"/>
      <c r="RKK60" s="250"/>
      <c r="RKL60" s="250"/>
      <c r="RKM60" s="250"/>
      <c r="RKN60" s="250"/>
      <c r="RKO60" s="250"/>
      <c r="RKP60" s="250"/>
      <c r="RKQ60" s="250"/>
      <c r="RKR60" s="250"/>
      <c r="RKS60" s="250"/>
      <c r="RKT60" s="250"/>
      <c r="RKU60" s="250"/>
      <c r="RKV60" s="250"/>
      <c r="RKW60" s="250"/>
      <c r="RKX60" s="250"/>
      <c r="RKY60" s="250"/>
      <c r="RKZ60" s="250"/>
      <c r="RLA60" s="250"/>
      <c r="RLB60" s="250"/>
      <c r="RLC60" s="250"/>
      <c r="RLD60" s="250"/>
      <c r="RLE60" s="250"/>
      <c r="RLF60" s="250"/>
      <c r="RLG60" s="250"/>
      <c r="RLH60" s="250"/>
      <c r="RLI60" s="250"/>
      <c r="RLJ60" s="250"/>
      <c r="RLK60" s="250"/>
      <c r="RLL60" s="250"/>
      <c r="RLM60" s="250"/>
      <c r="RLN60" s="250"/>
      <c r="RLO60" s="250"/>
      <c r="RLP60" s="250"/>
      <c r="RLQ60" s="250"/>
      <c r="RLR60" s="250"/>
      <c r="RLS60" s="250"/>
      <c r="RLT60" s="250"/>
      <c r="RLU60" s="250"/>
      <c r="RLV60" s="250"/>
      <c r="RLW60" s="250"/>
      <c r="RLX60" s="250"/>
      <c r="RLY60" s="250"/>
      <c r="RLZ60" s="250"/>
      <c r="RMA60" s="250"/>
      <c r="RMB60" s="250"/>
      <c r="RMC60" s="250"/>
      <c r="RMD60" s="250"/>
      <c r="RME60" s="250"/>
      <c r="RMF60" s="250"/>
      <c r="RMG60" s="250"/>
      <c r="RMH60" s="250"/>
      <c r="RMI60" s="250"/>
      <c r="RMJ60" s="250"/>
      <c r="RMK60" s="250"/>
      <c r="RML60" s="250"/>
      <c r="RMM60" s="250"/>
      <c r="RMN60" s="250"/>
      <c r="RMO60" s="250"/>
      <c r="RMP60" s="250"/>
      <c r="RMQ60" s="250"/>
      <c r="RMR60" s="250"/>
      <c r="RMS60" s="250"/>
      <c r="RMT60" s="250"/>
      <c r="RMU60" s="250"/>
      <c r="RMV60" s="250"/>
      <c r="RMW60" s="250"/>
      <c r="RMX60" s="250"/>
      <c r="RMY60" s="250"/>
      <c r="RMZ60" s="250"/>
      <c r="RNA60" s="250"/>
      <c r="RNB60" s="250"/>
      <c r="RNC60" s="250"/>
      <c r="RND60" s="250"/>
      <c r="RNE60" s="250"/>
      <c r="RNF60" s="250"/>
      <c r="RNG60" s="250"/>
      <c r="RNH60" s="250"/>
      <c r="RNI60" s="250"/>
      <c r="RNJ60" s="250"/>
      <c r="RNK60" s="250"/>
      <c r="RNL60" s="250"/>
      <c r="RNM60" s="250"/>
      <c r="RNN60" s="250"/>
      <c r="RNO60" s="250"/>
      <c r="RNP60" s="250"/>
      <c r="RNQ60" s="250"/>
      <c r="RNR60" s="250"/>
      <c r="RNS60" s="250"/>
      <c r="RNT60" s="250"/>
      <c r="RNU60" s="250"/>
      <c r="RNV60" s="250"/>
      <c r="RNW60" s="250"/>
      <c r="RNX60" s="250"/>
      <c r="RNY60" s="250"/>
      <c r="RNZ60" s="250"/>
      <c r="ROA60" s="250"/>
      <c r="ROB60" s="250"/>
      <c r="ROC60" s="250"/>
      <c r="ROD60" s="250"/>
      <c r="ROE60" s="250"/>
      <c r="ROF60" s="250"/>
      <c r="ROG60" s="250"/>
      <c r="ROH60" s="250"/>
      <c r="ROI60" s="250"/>
      <c r="ROJ60" s="250"/>
      <c r="ROK60" s="250"/>
      <c r="ROL60" s="250"/>
      <c r="ROM60" s="250"/>
      <c r="RON60" s="250"/>
      <c r="ROO60" s="250"/>
      <c r="ROP60" s="250"/>
      <c r="ROQ60" s="250"/>
      <c r="ROR60" s="250"/>
      <c r="ROS60" s="250"/>
      <c r="ROT60" s="250"/>
      <c r="ROU60" s="250"/>
      <c r="ROV60" s="250"/>
      <c r="ROW60" s="250"/>
      <c r="ROX60" s="250"/>
      <c r="ROY60" s="250"/>
      <c r="ROZ60" s="250"/>
      <c r="RPA60" s="250"/>
      <c r="RPB60" s="250"/>
      <c r="RPC60" s="250"/>
      <c r="RPD60" s="250"/>
      <c r="RPE60" s="250"/>
      <c r="RPF60" s="250"/>
      <c r="RPG60" s="250"/>
      <c r="RPH60" s="250"/>
      <c r="RPI60" s="250"/>
      <c r="RPJ60" s="250"/>
      <c r="RPK60" s="250"/>
      <c r="RPL60" s="250"/>
      <c r="RPM60" s="250"/>
      <c r="RPN60" s="250"/>
      <c r="RPO60" s="250"/>
      <c r="RPP60" s="250"/>
      <c r="RPQ60" s="250"/>
      <c r="RPR60" s="250"/>
      <c r="RPS60" s="250"/>
      <c r="RPT60" s="250"/>
      <c r="RPU60" s="250"/>
      <c r="RPV60" s="250"/>
      <c r="RPW60" s="250"/>
      <c r="RPX60" s="250"/>
      <c r="RPY60" s="250"/>
      <c r="RPZ60" s="250"/>
      <c r="RQA60" s="250"/>
      <c r="RQB60" s="250"/>
      <c r="RQC60" s="250"/>
      <c r="RQD60" s="250"/>
      <c r="RQE60" s="250"/>
      <c r="RQF60" s="250"/>
      <c r="RQG60" s="250"/>
      <c r="RQH60" s="250"/>
      <c r="RQI60" s="250"/>
      <c r="RQJ60" s="250"/>
      <c r="RQK60" s="250"/>
      <c r="RQL60" s="250"/>
      <c r="RQM60" s="250"/>
      <c r="RQN60" s="250"/>
      <c r="RQO60" s="250"/>
      <c r="RQP60" s="250"/>
      <c r="RQQ60" s="250"/>
      <c r="RQR60" s="250"/>
      <c r="RQS60" s="250"/>
      <c r="RQT60" s="250"/>
      <c r="RQU60" s="250"/>
      <c r="RQV60" s="250"/>
      <c r="RQW60" s="250"/>
      <c r="RQX60" s="250"/>
      <c r="RQY60" s="250"/>
      <c r="RQZ60" s="250"/>
      <c r="RRA60" s="250"/>
      <c r="RRB60" s="250"/>
      <c r="RRC60" s="250"/>
      <c r="RRD60" s="250"/>
      <c r="RRE60" s="250"/>
      <c r="RRF60" s="250"/>
      <c r="RRG60" s="250"/>
      <c r="RRH60" s="250"/>
      <c r="RRI60" s="250"/>
      <c r="RRJ60" s="250"/>
      <c r="RRK60" s="250"/>
      <c r="RRL60" s="250"/>
      <c r="RRM60" s="250"/>
      <c r="RRN60" s="250"/>
      <c r="RRO60" s="250"/>
      <c r="RRP60" s="250"/>
      <c r="RRQ60" s="250"/>
      <c r="RRR60" s="250"/>
      <c r="RRS60" s="250"/>
      <c r="RRT60" s="250"/>
      <c r="RRU60" s="250"/>
      <c r="RRV60" s="250"/>
      <c r="RRW60" s="250"/>
      <c r="RRX60" s="250"/>
      <c r="RRY60" s="250"/>
      <c r="RRZ60" s="250"/>
      <c r="RSA60" s="250"/>
      <c r="RSB60" s="250"/>
      <c r="RSC60" s="250"/>
      <c r="RSD60" s="250"/>
      <c r="RSE60" s="250"/>
      <c r="RSF60" s="250"/>
      <c r="RSG60" s="250"/>
      <c r="RSH60" s="250"/>
      <c r="RSI60" s="250"/>
      <c r="RSJ60" s="250"/>
      <c r="RSK60" s="250"/>
      <c r="RSL60" s="250"/>
      <c r="RSM60" s="250"/>
      <c r="RSN60" s="250"/>
      <c r="RSO60" s="250"/>
      <c r="RSP60" s="250"/>
      <c r="RSQ60" s="250"/>
      <c r="RSR60" s="250"/>
      <c r="RSS60" s="250"/>
      <c r="RST60" s="250"/>
      <c r="RSU60" s="250"/>
      <c r="RSV60" s="250"/>
      <c r="RSW60" s="250"/>
      <c r="RSX60" s="250"/>
      <c r="RSY60" s="250"/>
      <c r="RSZ60" s="250"/>
      <c r="RTA60" s="250"/>
      <c r="RTB60" s="250"/>
      <c r="RTC60" s="250"/>
      <c r="RTD60" s="250"/>
      <c r="RTE60" s="250"/>
      <c r="RTF60" s="250"/>
      <c r="RTG60" s="250"/>
      <c r="RTH60" s="250"/>
      <c r="RTI60" s="250"/>
      <c r="RTJ60" s="250"/>
      <c r="RTK60" s="250"/>
      <c r="RTL60" s="250"/>
      <c r="RTM60" s="250"/>
      <c r="RTN60" s="250"/>
      <c r="RTO60" s="250"/>
      <c r="RTP60" s="250"/>
      <c r="RTQ60" s="250"/>
      <c r="RTR60" s="250"/>
      <c r="RTS60" s="250"/>
      <c r="RTT60" s="250"/>
      <c r="RTU60" s="250"/>
      <c r="RTV60" s="250"/>
      <c r="RTW60" s="250"/>
      <c r="RTX60" s="250"/>
      <c r="RTY60" s="250"/>
      <c r="RTZ60" s="250"/>
      <c r="RUA60" s="250"/>
      <c r="RUB60" s="250"/>
      <c r="RUC60" s="250"/>
      <c r="RUD60" s="250"/>
      <c r="RUE60" s="250"/>
      <c r="RUF60" s="250"/>
      <c r="RUG60" s="250"/>
      <c r="RUH60" s="250"/>
      <c r="RUI60" s="250"/>
      <c r="RUJ60" s="250"/>
      <c r="RUK60" s="250"/>
      <c r="RUL60" s="250"/>
      <c r="RUM60" s="250"/>
      <c r="RUN60" s="250"/>
      <c r="RUO60" s="250"/>
      <c r="RUP60" s="250"/>
      <c r="RUQ60" s="250"/>
      <c r="RUR60" s="250"/>
      <c r="RUS60" s="250"/>
      <c r="RUT60" s="250"/>
      <c r="RUU60" s="250"/>
      <c r="RUV60" s="250"/>
      <c r="RUW60" s="250"/>
      <c r="RUX60" s="250"/>
      <c r="RUY60" s="250"/>
      <c r="RUZ60" s="250"/>
      <c r="RVA60" s="250"/>
      <c r="RVB60" s="250"/>
      <c r="RVC60" s="250"/>
      <c r="RVD60" s="250"/>
      <c r="RVE60" s="250"/>
      <c r="RVF60" s="250"/>
      <c r="RVG60" s="250"/>
      <c r="RVH60" s="250"/>
      <c r="RVI60" s="250"/>
      <c r="RVJ60" s="250"/>
      <c r="RVK60" s="250"/>
      <c r="RVL60" s="250"/>
      <c r="RVM60" s="250"/>
      <c r="RVN60" s="250"/>
      <c r="RVO60" s="250"/>
      <c r="RVP60" s="250"/>
      <c r="RVQ60" s="250"/>
      <c r="RVR60" s="250"/>
      <c r="RVS60" s="250"/>
      <c r="RVT60" s="250"/>
      <c r="RVU60" s="250"/>
      <c r="RVV60" s="250"/>
      <c r="RVW60" s="250"/>
      <c r="RVX60" s="250"/>
      <c r="RVY60" s="250"/>
      <c r="RVZ60" s="250"/>
      <c r="RWA60" s="250"/>
      <c r="RWB60" s="250"/>
      <c r="RWC60" s="250"/>
      <c r="RWD60" s="250"/>
      <c r="RWE60" s="250"/>
      <c r="RWF60" s="250"/>
      <c r="RWG60" s="250"/>
      <c r="RWH60" s="250"/>
      <c r="RWI60" s="250"/>
      <c r="RWJ60" s="250"/>
      <c r="RWK60" s="250"/>
      <c r="RWL60" s="250"/>
      <c r="RWM60" s="250"/>
      <c r="RWN60" s="250"/>
      <c r="RWO60" s="250"/>
      <c r="RWP60" s="250"/>
      <c r="RWQ60" s="250"/>
      <c r="RWR60" s="250"/>
      <c r="RWS60" s="250"/>
      <c r="RWT60" s="250"/>
      <c r="RWU60" s="250"/>
      <c r="RWV60" s="250"/>
      <c r="RWW60" s="250"/>
      <c r="RWX60" s="250"/>
      <c r="RWY60" s="250"/>
      <c r="RWZ60" s="250"/>
      <c r="RXA60" s="250"/>
      <c r="RXB60" s="250"/>
      <c r="RXC60" s="250"/>
      <c r="RXD60" s="250"/>
      <c r="RXE60" s="250"/>
      <c r="RXF60" s="250"/>
      <c r="RXG60" s="250"/>
      <c r="RXH60" s="250"/>
      <c r="RXI60" s="250"/>
      <c r="RXJ60" s="250"/>
      <c r="RXK60" s="250"/>
      <c r="RXL60" s="250"/>
      <c r="RXM60" s="250"/>
      <c r="RXN60" s="250"/>
      <c r="RXO60" s="250"/>
      <c r="RXP60" s="250"/>
      <c r="RXQ60" s="250"/>
      <c r="RXR60" s="250"/>
      <c r="RXS60" s="250"/>
      <c r="RXT60" s="250"/>
      <c r="RXU60" s="250"/>
      <c r="RXV60" s="250"/>
      <c r="RXW60" s="250"/>
      <c r="RXX60" s="250"/>
      <c r="RXY60" s="250"/>
      <c r="RXZ60" s="250"/>
      <c r="RYA60" s="250"/>
      <c r="RYB60" s="250"/>
      <c r="RYC60" s="250"/>
      <c r="RYD60" s="250"/>
      <c r="RYE60" s="250"/>
      <c r="RYF60" s="250"/>
      <c r="RYG60" s="250"/>
      <c r="RYH60" s="250"/>
      <c r="RYI60" s="250"/>
      <c r="RYJ60" s="250"/>
      <c r="RYK60" s="250"/>
      <c r="RYL60" s="250"/>
      <c r="RYM60" s="250"/>
      <c r="RYN60" s="250"/>
      <c r="RYO60" s="250"/>
      <c r="RYP60" s="250"/>
      <c r="RYQ60" s="250"/>
      <c r="RYR60" s="250"/>
      <c r="RYS60" s="250"/>
      <c r="RYT60" s="250"/>
      <c r="RYU60" s="250"/>
      <c r="RYV60" s="250"/>
      <c r="RYW60" s="250"/>
      <c r="RYX60" s="250"/>
      <c r="RYY60" s="250"/>
      <c r="RYZ60" s="250"/>
      <c r="RZA60" s="250"/>
      <c r="RZB60" s="250"/>
      <c r="RZC60" s="250"/>
      <c r="RZD60" s="250"/>
      <c r="RZE60" s="250"/>
      <c r="RZF60" s="250"/>
      <c r="RZG60" s="250"/>
      <c r="RZH60" s="250"/>
      <c r="RZI60" s="250"/>
      <c r="RZJ60" s="250"/>
      <c r="RZK60" s="250"/>
      <c r="RZL60" s="250"/>
      <c r="RZM60" s="250"/>
      <c r="RZN60" s="250"/>
      <c r="RZO60" s="250"/>
      <c r="RZP60" s="250"/>
      <c r="RZQ60" s="250"/>
      <c r="RZR60" s="250"/>
      <c r="RZS60" s="250"/>
      <c r="RZT60" s="250"/>
      <c r="RZU60" s="250"/>
      <c r="RZV60" s="250"/>
      <c r="RZW60" s="250"/>
      <c r="RZX60" s="250"/>
      <c r="RZY60" s="250"/>
      <c r="RZZ60" s="250"/>
      <c r="SAA60" s="250"/>
      <c r="SAB60" s="250"/>
      <c r="SAC60" s="250"/>
      <c r="SAD60" s="250"/>
      <c r="SAE60" s="250"/>
      <c r="SAF60" s="250"/>
      <c r="SAG60" s="250"/>
      <c r="SAH60" s="250"/>
      <c r="SAI60" s="250"/>
      <c r="SAJ60" s="250"/>
      <c r="SAK60" s="250"/>
      <c r="SAL60" s="250"/>
      <c r="SAM60" s="250"/>
      <c r="SAN60" s="250"/>
      <c r="SAO60" s="250"/>
      <c r="SAP60" s="250"/>
      <c r="SAQ60" s="250"/>
      <c r="SAR60" s="250"/>
      <c r="SAS60" s="250"/>
      <c r="SAT60" s="250"/>
      <c r="SAU60" s="250"/>
      <c r="SAV60" s="250"/>
      <c r="SAW60" s="250"/>
      <c r="SAX60" s="250"/>
      <c r="SAY60" s="250"/>
      <c r="SAZ60" s="250"/>
      <c r="SBA60" s="250"/>
      <c r="SBB60" s="250"/>
      <c r="SBC60" s="250"/>
      <c r="SBD60" s="250"/>
      <c r="SBE60" s="250"/>
      <c r="SBF60" s="250"/>
      <c r="SBG60" s="250"/>
      <c r="SBH60" s="250"/>
      <c r="SBI60" s="250"/>
      <c r="SBJ60" s="250"/>
      <c r="SBK60" s="250"/>
      <c r="SBL60" s="250"/>
      <c r="SBM60" s="250"/>
      <c r="SBN60" s="250"/>
      <c r="SBO60" s="250"/>
      <c r="SBP60" s="250"/>
      <c r="SBQ60" s="250"/>
      <c r="SBR60" s="250"/>
      <c r="SBS60" s="250"/>
      <c r="SBT60" s="250"/>
      <c r="SBU60" s="250"/>
      <c r="SBV60" s="250"/>
      <c r="SBW60" s="250"/>
      <c r="SBX60" s="250"/>
      <c r="SBY60" s="250"/>
      <c r="SBZ60" s="250"/>
      <c r="SCA60" s="250"/>
      <c r="SCB60" s="250"/>
      <c r="SCC60" s="250"/>
      <c r="SCD60" s="250"/>
      <c r="SCE60" s="250"/>
      <c r="SCF60" s="250"/>
      <c r="SCG60" s="250"/>
      <c r="SCH60" s="250"/>
      <c r="SCI60" s="250"/>
      <c r="SCJ60" s="250"/>
      <c r="SCK60" s="250"/>
      <c r="SCL60" s="250"/>
      <c r="SCM60" s="250"/>
      <c r="SCN60" s="250"/>
      <c r="SCO60" s="250"/>
      <c r="SCP60" s="250"/>
      <c r="SCQ60" s="250"/>
      <c r="SCR60" s="250"/>
      <c r="SCS60" s="250"/>
      <c r="SCT60" s="250"/>
      <c r="SCU60" s="250"/>
      <c r="SCV60" s="250"/>
      <c r="SCW60" s="250"/>
      <c r="SCX60" s="250"/>
      <c r="SCY60" s="250"/>
      <c r="SCZ60" s="250"/>
      <c r="SDA60" s="250"/>
      <c r="SDB60" s="250"/>
      <c r="SDC60" s="250"/>
      <c r="SDD60" s="250"/>
      <c r="SDE60" s="250"/>
      <c r="SDF60" s="250"/>
      <c r="SDG60" s="250"/>
      <c r="SDH60" s="250"/>
      <c r="SDI60" s="250"/>
      <c r="SDJ60" s="250"/>
      <c r="SDK60" s="250"/>
      <c r="SDL60" s="250"/>
      <c r="SDM60" s="250"/>
      <c r="SDN60" s="250"/>
      <c r="SDO60" s="250"/>
      <c r="SDP60" s="250"/>
      <c r="SDQ60" s="250"/>
      <c r="SDR60" s="250"/>
      <c r="SDS60" s="250"/>
      <c r="SDT60" s="250"/>
      <c r="SDU60" s="250"/>
      <c r="SDV60" s="250"/>
      <c r="SDW60" s="250"/>
      <c r="SDX60" s="250"/>
      <c r="SDY60" s="250"/>
      <c r="SDZ60" s="250"/>
      <c r="SEA60" s="250"/>
      <c r="SEB60" s="250"/>
      <c r="SEC60" s="250"/>
      <c r="SED60" s="250"/>
      <c r="SEE60" s="250"/>
      <c r="SEF60" s="250"/>
      <c r="SEG60" s="250"/>
      <c r="SEH60" s="250"/>
      <c r="SEI60" s="250"/>
      <c r="SEJ60" s="250"/>
      <c r="SEK60" s="250"/>
      <c r="SEL60" s="250"/>
      <c r="SEM60" s="250"/>
      <c r="SEN60" s="250"/>
      <c r="SEO60" s="250"/>
      <c r="SEP60" s="250"/>
      <c r="SEQ60" s="250"/>
      <c r="SER60" s="250"/>
      <c r="SES60" s="250"/>
      <c r="SET60" s="250"/>
      <c r="SEU60" s="250"/>
      <c r="SEV60" s="250"/>
      <c r="SEW60" s="250"/>
      <c r="SEX60" s="250"/>
      <c r="SEY60" s="250"/>
      <c r="SEZ60" s="250"/>
      <c r="SFA60" s="250"/>
      <c r="SFB60" s="250"/>
      <c r="SFC60" s="250"/>
      <c r="SFD60" s="250"/>
      <c r="SFE60" s="250"/>
      <c r="SFF60" s="250"/>
      <c r="SFG60" s="250"/>
      <c r="SFH60" s="250"/>
      <c r="SFI60" s="250"/>
      <c r="SFJ60" s="250"/>
      <c r="SFK60" s="250"/>
      <c r="SFL60" s="250"/>
      <c r="SFM60" s="250"/>
      <c r="SFN60" s="250"/>
      <c r="SFO60" s="250"/>
      <c r="SFP60" s="250"/>
      <c r="SFQ60" s="250"/>
      <c r="SFR60" s="250"/>
      <c r="SFS60" s="250"/>
      <c r="SFT60" s="250"/>
      <c r="SFU60" s="250"/>
      <c r="SFV60" s="250"/>
      <c r="SFW60" s="250"/>
      <c r="SFX60" s="250"/>
      <c r="SFY60" s="250"/>
      <c r="SFZ60" s="250"/>
      <c r="SGA60" s="250"/>
      <c r="SGB60" s="250"/>
      <c r="SGC60" s="250"/>
      <c r="SGD60" s="250"/>
      <c r="SGE60" s="250"/>
      <c r="SGF60" s="250"/>
      <c r="SGG60" s="250"/>
      <c r="SGH60" s="250"/>
      <c r="SGI60" s="250"/>
      <c r="SGJ60" s="250"/>
      <c r="SGK60" s="250"/>
      <c r="SGL60" s="250"/>
      <c r="SGM60" s="250"/>
      <c r="SGN60" s="250"/>
      <c r="SGO60" s="250"/>
      <c r="SGP60" s="250"/>
      <c r="SGQ60" s="250"/>
      <c r="SGR60" s="250"/>
      <c r="SGS60" s="250"/>
      <c r="SGT60" s="250"/>
      <c r="SGU60" s="250"/>
      <c r="SGV60" s="250"/>
      <c r="SGW60" s="250"/>
      <c r="SGX60" s="250"/>
      <c r="SGY60" s="250"/>
      <c r="SGZ60" s="250"/>
      <c r="SHA60" s="250"/>
      <c r="SHB60" s="250"/>
      <c r="SHC60" s="250"/>
      <c r="SHD60" s="250"/>
      <c r="SHE60" s="250"/>
      <c r="SHF60" s="250"/>
      <c r="SHG60" s="250"/>
      <c r="SHH60" s="250"/>
      <c r="SHI60" s="250"/>
      <c r="SHJ60" s="250"/>
      <c r="SHK60" s="250"/>
      <c r="SHL60" s="250"/>
      <c r="SHM60" s="250"/>
      <c r="SHN60" s="250"/>
      <c r="SHO60" s="250"/>
      <c r="SHP60" s="250"/>
      <c r="SHQ60" s="250"/>
      <c r="SHR60" s="250"/>
      <c r="SHS60" s="250"/>
      <c r="SHT60" s="250"/>
      <c r="SHU60" s="250"/>
      <c r="SHV60" s="250"/>
      <c r="SHW60" s="250"/>
      <c r="SHX60" s="250"/>
      <c r="SHY60" s="250"/>
      <c r="SHZ60" s="250"/>
      <c r="SIA60" s="250"/>
      <c r="SIB60" s="250"/>
      <c r="SIC60" s="250"/>
      <c r="SID60" s="250"/>
      <c r="SIE60" s="250"/>
      <c r="SIF60" s="250"/>
      <c r="SIG60" s="250"/>
      <c r="SIH60" s="250"/>
      <c r="SII60" s="250"/>
      <c r="SIJ60" s="250"/>
      <c r="SIK60" s="250"/>
      <c r="SIL60" s="250"/>
      <c r="SIM60" s="250"/>
      <c r="SIN60" s="250"/>
      <c r="SIO60" s="250"/>
      <c r="SIP60" s="250"/>
      <c r="SIQ60" s="250"/>
      <c r="SIR60" s="250"/>
      <c r="SIS60" s="250"/>
      <c r="SIT60" s="250"/>
      <c r="SIU60" s="250"/>
      <c r="SIV60" s="250"/>
      <c r="SIW60" s="250"/>
      <c r="SIX60" s="250"/>
      <c r="SIY60" s="250"/>
      <c r="SIZ60" s="250"/>
      <c r="SJA60" s="250"/>
      <c r="SJB60" s="250"/>
      <c r="SJC60" s="250"/>
      <c r="SJD60" s="250"/>
      <c r="SJE60" s="250"/>
      <c r="SJF60" s="250"/>
      <c r="SJG60" s="250"/>
      <c r="SJH60" s="250"/>
      <c r="SJI60" s="250"/>
      <c r="SJJ60" s="250"/>
      <c r="SJK60" s="250"/>
      <c r="SJL60" s="250"/>
      <c r="SJM60" s="250"/>
      <c r="SJN60" s="250"/>
      <c r="SJO60" s="250"/>
      <c r="SJP60" s="250"/>
      <c r="SJQ60" s="250"/>
      <c r="SJR60" s="250"/>
      <c r="SJS60" s="250"/>
      <c r="SJT60" s="250"/>
      <c r="SJU60" s="250"/>
      <c r="SJV60" s="250"/>
      <c r="SJW60" s="250"/>
      <c r="SJX60" s="250"/>
      <c r="SJY60" s="250"/>
      <c r="SJZ60" s="250"/>
      <c r="SKA60" s="250"/>
      <c r="SKB60" s="250"/>
      <c r="SKC60" s="250"/>
      <c r="SKD60" s="250"/>
      <c r="SKE60" s="250"/>
      <c r="SKF60" s="250"/>
      <c r="SKG60" s="250"/>
      <c r="SKH60" s="250"/>
      <c r="SKI60" s="250"/>
      <c r="SKJ60" s="250"/>
      <c r="SKK60" s="250"/>
      <c r="SKL60" s="250"/>
      <c r="SKM60" s="250"/>
      <c r="SKN60" s="250"/>
      <c r="SKO60" s="250"/>
      <c r="SKP60" s="250"/>
      <c r="SKQ60" s="250"/>
      <c r="SKR60" s="250"/>
      <c r="SKS60" s="250"/>
      <c r="SKT60" s="250"/>
      <c r="SKU60" s="250"/>
      <c r="SKV60" s="250"/>
      <c r="SKW60" s="250"/>
      <c r="SKX60" s="250"/>
      <c r="SKY60" s="250"/>
      <c r="SKZ60" s="250"/>
      <c r="SLA60" s="250"/>
      <c r="SLB60" s="250"/>
      <c r="SLC60" s="250"/>
      <c r="SLD60" s="250"/>
      <c r="SLE60" s="250"/>
      <c r="SLF60" s="250"/>
      <c r="SLG60" s="250"/>
      <c r="SLH60" s="250"/>
      <c r="SLI60" s="250"/>
      <c r="SLJ60" s="250"/>
      <c r="SLK60" s="250"/>
      <c r="SLL60" s="250"/>
      <c r="SLM60" s="250"/>
      <c r="SLN60" s="250"/>
      <c r="SLO60" s="250"/>
      <c r="SLP60" s="250"/>
      <c r="SLQ60" s="250"/>
      <c r="SLR60" s="250"/>
      <c r="SLS60" s="250"/>
      <c r="SLT60" s="250"/>
      <c r="SLU60" s="250"/>
      <c r="SLV60" s="250"/>
      <c r="SLW60" s="250"/>
      <c r="SLX60" s="250"/>
      <c r="SLY60" s="250"/>
      <c r="SLZ60" s="250"/>
      <c r="SMA60" s="250"/>
      <c r="SMB60" s="250"/>
      <c r="SMC60" s="250"/>
      <c r="SMD60" s="250"/>
      <c r="SME60" s="250"/>
      <c r="SMF60" s="250"/>
      <c r="SMG60" s="250"/>
      <c r="SMH60" s="250"/>
      <c r="SMI60" s="250"/>
      <c r="SMJ60" s="250"/>
      <c r="SMK60" s="250"/>
      <c r="SML60" s="250"/>
      <c r="SMM60" s="250"/>
      <c r="SMN60" s="250"/>
      <c r="SMO60" s="250"/>
      <c r="SMP60" s="250"/>
      <c r="SMQ60" s="250"/>
      <c r="SMR60" s="250"/>
      <c r="SMS60" s="250"/>
      <c r="SMT60" s="250"/>
      <c r="SMU60" s="250"/>
      <c r="SMV60" s="250"/>
      <c r="SMW60" s="250"/>
      <c r="SMX60" s="250"/>
      <c r="SMY60" s="250"/>
      <c r="SMZ60" s="250"/>
      <c r="SNA60" s="250"/>
      <c r="SNB60" s="250"/>
      <c r="SNC60" s="250"/>
      <c r="SND60" s="250"/>
      <c r="SNE60" s="250"/>
      <c r="SNF60" s="250"/>
      <c r="SNG60" s="250"/>
      <c r="SNH60" s="250"/>
      <c r="SNI60" s="250"/>
      <c r="SNJ60" s="250"/>
      <c r="SNK60" s="250"/>
      <c r="SNL60" s="250"/>
      <c r="SNM60" s="250"/>
      <c r="SNN60" s="250"/>
      <c r="SNO60" s="250"/>
      <c r="SNP60" s="250"/>
      <c r="SNQ60" s="250"/>
      <c r="SNR60" s="250"/>
      <c r="SNS60" s="250"/>
      <c r="SNT60" s="250"/>
      <c r="SNU60" s="250"/>
      <c r="SNV60" s="250"/>
      <c r="SNW60" s="250"/>
      <c r="SNX60" s="250"/>
      <c r="SNY60" s="250"/>
      <c r="SNZ60" s="250"/>
      <c r="SOA60" s="250"/>
      <c r="SOB60" s="250"/>
      <c r="SOC60" s="250"/>
      <c r="SOD60" s="250"/>
      <c r="SOE60" s="250"/>
      <c r="SOF60" s="250"/>
      <c r="SOG60" s="250"/>
      <c r="SOH60" s="250"/>
      <c r="SOI60" s="250"/>
      <c r="SOJ60" s="250"/>
      <c r="SOK60" s="250"/>
      <c r="SOL60" s="250"/>
      <c r="SOM60" s="250"/>
      <c r="SON60" s="250"/>
      <c r="SOO60" s="250"/>
      <c r="SOP60" s="250"/>
      <c r="SOQ60" s="250"/>
      <c r="SOR60" s="250"/>
      <c r="SOS60" s="250"/>
      <c r="SOT60" s="250"/>
      <c r="SOU60" s="250"/>
      <c r="SOV60" s="250"/>
      <c r="SOW60" s="250"/>
      <c r="SOX60" s="250"/>
      <c r="SOY60" s="250"/>
      <c r="SOZ60" s="250"/>
      <c r="SPA60" s="250"/>
      <c r="SPB60" s="250"/>
      <c r="SPC60" s="250"/>
      <c r="SPD60" s="250"/>
      <c r="SPE60" s="250"/>
      <c r="SPF60" s="250"/>
      <c r="SPG60" s="250"/>
      <c r="SPH60" s="250"/>
      <c r="SPI60" s="250"/>
      <c r="SPJ60" s="250"/>
      <c r="SPK60" s="250"/>
      <c r="SPL60" s="250"/>
      <c r="SPM60" s="250"/>
      <c r="SPN60" s="250"/>
      <c r="SPO60" s="250"/>
      <c r="SPP60" s="250"/>
      <c r="SPQ60" s="250"/>
      <c r="SPR60" s="250"/>
      <c r="SPS60" s="250"/>
      <c r="SPT60" s="250"/>
      <c r="SPU60" s="250"/>
      <c r="SPV60" s="250"/>
      <c r="SPW60" s="250"/>
      <c r="SPX60" s="250"/>
      <c r="SPY60" s="250"/>
      <c r="SPZ60" s="250"/>
      <c r="SQA60" s="250"/>
      <c r="SQB60" s="250"/>
      <c r="SQC60" s="250"/>
      <c r="SQD60" s="250"/>
      <c r="SQE60" s="250"/>
      <c r="SQF60" s="250"/>
      <c r="SQG60" s="250"/>
      <c r="SQH60" s="250"/>
      <c r="SQI60" s="250"/>
      <c r="SQJ60" s="250"/>
      <c r="SQK60" s="250"/>
      <c r="SQL60" s="250"/>
      <c r="SQM60" s="250"/>
      <c r="SQN60" s="250"/>
      <c r="SQO60" s="250"/>
      <c r="SQP60" s="250"/>
      <c r="SQQ60" s="250"/>
      <c r="SQR60" s="250"/>
      <c r="SQS60" s="250"/>
      <c r="SQT60" s="250"/>
      <c r="SQU60" s="250"/>
      <c r="SQV60" s="250"/>
      <c r="SQW60" s="250"/>
      <c r="SQX60" s="250"/>
      <c r="SQY60" s="250"/>
      <c r="SQZ60" s="250"/>
      <c r="SRA60" s="250"/>
      <c r="SRB60" s="250"/>
      <c r="SRC60" s="250"/>
      <c r="SRD60" s="250"/>
      <c r="SRE60" s="250"/>
      <c r="SRF60" s="250"/>
      <c r="SRG60" s="250"/>
      <c r="SRH60" s="250"/>
      <c r="SRI60" s="250"/>
      <c r="SRJ60" s="250"/>
      <c r="SRK60" s="250"/>
      <c r="SRL60" s="250"/>
      <c r="SRM60" s="250"/>
      <c r="SRN60" s="250"/>
      <c r="SRO60" s="250"/>
      <c r="SRP60" s="250"/>
      <c r="SRQ60" s="250"/>
      <c r="SRR60" s="250"/>
      <c r="SRS60" s="250"/>
      <c r="SRT60" s="250"/>
      <c r="SRU60" s="250"/>
      <c r="SRV60" s="250"/>
      <c r="SRW60" s="250"/>
      <c r="SRX60" s="250"/>
      <c r="SRY60" s="250"/>
      <c r="SRZ60" s="250"/>
      <c r="SSA60" s="250"/>
      <c r="SSB60" s="250"/>
      <c r="SSC60" s="250"/>
      <c r="SSD60" s="250"/>
      <c r="SSE60" s="250"/>
      <c r="SSF60" s="250"/>
      <c r="SSG60" s="250"/>
      <c r="SSH60" s="250"/>
      <c r="SSI60" s="250"/>
      <c r="SSJ60" s="250"/>
      <c r="SSK60" s="250"/>
      <c r="SSL60" s="250"/>
      <c r="SSM60" s="250"/>
      <c r="SSN60" s="250"/>
      <c r="SSO60" s="250"/>
      <c r="SSP60" s="250"/>
      <c r="SSQ60" s="250"/>
      <c r="SSR60" s="250"/>
      <c r="SSS60" s="250"/>
      <c r="SST60" s="250"/>
      <c r="SSU60" s="250"/>
      <c r="SSV60" s="250"/>
      <c r="SSW60" s="250"/>
      <c r="SSX60" s="250"/>
      <c r="SSY60" s="250"/>
      <c r="SSZ60" s="250"/>
      <c r="STA60" s="250"/>
      <c r="STB60" s="250"/>
      <c r="STC60" s="250"/>
      <c r="STD60" s="250"/>
      <c r="STE60" s="250"/>
      <c r="STF60" s="250"/>
      <c r="STG60" s="250"/>
      <c r="STH60" s="250"/>
      <c r="STI60" s="250"/>
      <c r="STJ60" s="250"/>
      <c r="STK60" s="250"/>
      <c r="STL60" s="250"/>
      <c r="STM60" s="250"/>
      <c r="STN60" s="250"/>
      <c r="STO60" s="250"/>
      <c r="STP60" s="250"/>
      <c r="STQ60" s="250"/>
      <c r="STR60" s="250"/>
      <c r="STS60" s="250"/>
      <c r="STT60" s="250"/>
      <c r="STU60" s="250"/>
      <c r="STV60" s="250"/>
      <c r="STW60" s="250"/>
      <c r="STX60" s="250"/>
      <c r="STY60" s="250"/>
      <c r="STZ60" s="250"/>
      <c r="SUA60" s="250"/>
      <c r="SUB60" s="250"/>
      <c r="SUC60" s="250"/>
      <c r="SUD60" s="250"/>
      <c r="SUE60" s="250"/>
      <c r="SUF60" s="250"/>
      <c r="SUG60" s="250"/>
      <c r="SUH60" s="250"/>
      <c r="SUI60" s="250"/>
      <c r="SUJ60" s="250"/>
      <c r="SUK60" s="250"/>
      <c r="SUL60" s="250"/>
      <c r="SUM60" s="250"/>
      <c r="SUN60" s="250"/>
      <c r="SUO60" s="250"/>
      <c r="SUP60" s="250"/>
      <c r="SUQ60" s="250"/>
      <c r="SUR60" s="250"/>
      <c r="SUS60" s="250"/>
      <c r="SUT60" s="250"/>
      <c r="SUU60" s="250"/>
      <c r="SUV60" s="250"/>
      <c r="SUW60" s="250"/>
      <c r="SUX60" s="250"/>
      <c r="SUY60" s="250"/>
      <c r="SUZ60" s="250"/>
      <c r="SVA60" s="250"/>
      <c r="SVB60" s="250"/>
      <c r="SVC60" s="250"/>
      <c r="SVD60" s="250"/>
      <c r="SVE60" s="250"/>
      <c r="SVF60" s="250"/>
      <c r="SVG60" s="250"/>
      <c r="SVH60" s="250"/>
      <c r="SVI60" s="250"/>
      <c r="SVJ60" s="250"/>
      <c r="SVK60" s="250"/>
      <c r="SVL60" s="250"/>
      <c r="SVM60" s="250"/>
      <c r="SVN60" s="250"/>
      <c r="SVO60" s="250"/>
      <c r="SVP60" s="250"/>
      <c r="SVQ60" s="250"/>
      <c r="SVR60" s="250"/>
      <c r="SVS60" s="250"/>
      <c r="SVT60" s="250"/>
      <c r="SVU60" s="250"/>
      <c r="SVV60" s="250"/>
      <c r="SVW60" s="250"/>
      <c r="SVX60" s="250"/>
      <c r="SVY60" s="250"/>
      <c r="SVZ60" s="250"/>
      <c r="SWA60" s="250"/>
      <c r="SWB60" s="250"/>
      <c r="SWC60" s="250"/>
      <c r="SWD60" s="250"/>
      <c r="SWE60" s="250"/>
      <c r="SWF60" s="250"/>
      <c r="SWG60" s="250"/>
      <c r="SWH60" s="250"/>
      <c r="SWI60" s="250"/>
      <c r="SWJ60" s="250"/>
      <c r="SWK60" s="250"/>
      <c r="SWL60" s="250"/>
      <c r="SWM60" s="250"/>
      <c r="SWN60" s="250"/>
      <c r="SWO60" s="250"/>
      <c r="SWP60" s="250"/>
      <c r="SWQ60" s="250"/>
      <c r="SWR60" s="250"/>
      <c r="SWS60" s="250"/>
      <c r="SWT60" s="250"/>
      <c r="SWU60" s="250"/>
      <c r="SWV60" s="250"/>
      <c r="SWW60" s="250"/>
      <c r="SWX60" s="250"/>
      <c r="SWY60" s="250"/>
      <c r="SWZ60" s="250"/>
      <c r="SXA60" s="250"/>
      <c r="SXB60" s="250"/>
      <c r="SXC60" s="250"/>
      <c r="SXD60" s="250"/>
      <c r="SXE60" s="250"/>
      <c r="SXF60" s="250"/>
      <c r="SXG60" s="250"/>
      <c r="SXH60" s="250"/>
      <c r="SXI60" s="250"/>
      <c r="SXJ60" s="250"/>
      <c r="SXK60" s="250"/>
      <c r="SXL60" s="250"/>
      <c r="SXM60" s="250"/>
      <c r="SXN60" s="250"/>
      <c r="SXO60" s="250"/>
      <c r="SXP60" s="250"/>
      <c r="SXQ60" s="250"/>
      <c r="SXR60" s="250"/>
      <c r="SXS60" s="250"/>
      <c r="SXT60" s="250"/>
      <c r="SXU60" s="250"/>
      <c r="SXV60" s="250"/>
      <c r="SXW60" s="250"/>
      <c r="SXX60" s="250"/>
      <c r="SXY60" s="250"/>
      <c r="SXZ60" s="250"/>
      <c r="SYA60" s="250"/>
      <c r="SYB60" s="250"/>
      <c r="SYC60" s="250"/>
      <c r="SYD60" s="250"/>
      <c r="SYE60" s="250"/>
      <c r="SYF60" s="250"/>
      <c r="SYG60" s="250"/>
      <c r="SYH60" s="250"/>
      <c r="SYI60" s="250"/>
      <c r="SYJ60" s="250"/>
      <c r="SYK60" s="250"/>
      <c r="SYL60" s="250"/>
      <c r="SYM60" s="250"/>
      <c r="SYN60" s="250"/>
      <c r="SYO60" s="250"/>
      <c r="SYP60" s="250"/>
      <c r="SYQ60" s="250"/>
      <c r="SYR60" s="250"/>
      <c r="SYS60" s="250"/>
      <c r="SYT60" s="250"/>
      <c r="SYU60" s="250"/>
      <c r="SYV60" s="250"/>
      <c r="SYW60" s="250"/>
      <c r="SYX60" s="250"/>
      <c r="SYY60" s="250"/>
      <c r="SYZ60" s="250"/>
      <c r="SZA60" s="250"/>
      <c r="SZB60" s="250"/>
      <c r="SZC60" s="250"/>
      <c r="SZD60" s="250"/>
      <c r="SZE60" s="250"/>
      <c r="SZF60" s="250"/>
      <c r="SZG60" s="250"/>
      <c r="SZH60" s="250"/>
      <c r="SZI60" s="250"/>
      <c r="SZJ60" s="250"/>
      <c r="SZK60" s="250"/>
      <c r="SZL60" s="250"/>
      <c r="SZM60" s="250"/>
      <c r="SZN60" s="250"/>
      <c r="SZO60" s="250"/>
      <c r="SZP60" s="250"/>
      <c r="SZQ60" s="250"/>
      <c r="SZR60" s="250"/>
      <c r="SZS60" s="250"/>
      <c r="SZT60" s="250"/>
      <c r="SZU60" s="250"/>
      <c r="SZV60" s="250"/>
      <c r="SZW60" s="250"/>
      <c r="SZX60" s="250"/>
      <c r="SZY60" s="250"/>
      <c r="SZZ60" s="250"/>
      <c r="TAA60" s="250"/>
      <c r="TAB60" s="250"/>
      <c r="TAC60" s="250"/>
      <c r="TAD60" s="250"/>
      <c r="TAE60" s="250"/>
      <c r="TAF60" s="250"/>
      <c r="TAG60" s="250"/>
      <c r="TAH60" s="250"/>
      <c r="TAI60" s="250"/>
      <c r="TAJ60" s="250"/>
      <c r="TAK60" s="250"/>
      <c r="TAL60" s="250"/>
      <c r="TAM60" s="250"/>
      <c r="TAN60" s="250"/>
      <c r="TAO60" s="250"/>
      <c r="TAP60" s="250"/>
      <c r="TAQ60" s="250"/>
      <c r="TAR60" s="250"/>
      <c r="TAS60" s="250"/>
      <c r="TAT60" s="250"/>
      <c r="TAU60" s="250"/>
      <c r="TAV60" s="250"/>
      <c r="TAW60" s="250"/>
      <c r="TAX60" s="250"/>
      <c r="TAY60" s="250"/>
      <c r="TAZ60" s="250"/>
      <c r="TBA60" s="250"/>
      <c r="TBB60" s="250"/>
      <c r="TBC60" s="250"/>
      <c r="TBD60" s="250"/>
      <c r="TBE60" s="250"/>
      <c r="TBF60" s="250"/>
      <c r="TBG60" s="250"/>
      <c r="TBH60" s="250"/>
      <c r="TBI60" s="250"/>
      <c r="TBJ60" s="250"/>
      <c r="TBK60" s="250"/>
      <c r="TBL60" s="250"/>
      <c r="TBM60" s="250"/>
      <c r="TBN60" s="250"/>
      <c r="TBO60" s="250"/>
      <c r="TBP60" s="250"/>
      <c r="TBQ60" s="250"/>
      <c r="TBR60" s="250"/>
      <c r="TBS60" s="250"/>
      <c r="TBT60" s="250"/>
      <c r="TBU60" s="250"/>
      <c r="TBV60" s="250"/>
      <c r="TBW60" s="250"/>
      <c r="TBX60" s="250"/>
      <c r="TBY60" s="250"/>
      <c r="TBZ60" s="250"/>
      <c r="TCA60" s="250"/>
      <c r="TCB60" s="250"/>
      <c r="TCC60" s="250"/>
      <c r="TCD60" s="250"/>
      <c r="TCE60" s="250"/>
      <c r="TCF60" s="250"/>
      <c r="TCG60" s="250"/>
      <c r="TCH60" s="250"/>
      <c r="TCI60" s="250"/>
      <c r="TCJ60" s="250"/>
      <c r="TCK60" s="250"/>
      <c r="TCL60" s="250"/>
      <c r="TCM60" s="250"/>
      <c r="TCN60" s="250"/>
      <c r="TCO60" s="250"/>
      <c r="TCP60" s="250"/>
      <c r="TCQ60" s="250"/>
      <c r="TCR60" s="250"/>
      <c r="TCS60" s="250"/>
      <c r="TCT60" s="250"/>
      <c r="TCU60" s="250"/>
      <c r="TCV60" s="250"/>
      <c r="TCW60" s="250"/>
      <c r="TCX60" s="250"/>
      <c r="TCY60" s="250"/>
      <c r="TCZ60" s="250"/>
      <c r="TDA60" s="250"/>
      <c r="TDB60" s="250"/>
      <c r="TDC60" s="250"/>
      <c r="TDD60" s="250"/>
      <c r="TDE60" s="250"/>
      <c r="TDF60" s="250"/>
      <c r="TDG60" s="250"/>
      <c r="TDH60" s="250"/>
      <c r="TDI60" s="250"/>
      <c r="TDJ60" s="250"/>
      <c r="TDK60" s="250"/>
      <c r="TDL60" s="250"/>
      <c r="TDM60" s="250"/>
      <c r="TDN60" s="250"/>
      <c r="TDO60" s="250"/>
      <c r="TDP60" s="250"/>
      <c r="TDQ60" s="250"/>
      <c r="TDR60" s="250"/>
      <c r="TDS60" s="250"/>
      <c r="TDT60" s="250"/>
      <c r="TDU60" s="250"/>
      <c r="TDV60" s="250"/>
      <c r="TDW60" s="250"/>
      <c r="TDX60" s="250"/>
      <c r="TDY60" s="250"/>
      <c r="TDZ60" s="250"/>
      <c r="TEA60" s="250"/>
      <c r="TEB60" s="250"/>
      <c r="TEC60" s="250"/>
      <c r="TED60" s="250"/>
      <c r="TEE60" s="250"/>
      <c r="TEF60" s="250"/>
      <c r="TEG60" s="250"/>
      <c r="TEH60" s="250"/>
      <c r="TEI60" s="250"/>
      <c r="TEJ60" s="250"/>
      <c r="TEK60" s="250"/>
      <c r="TEL60" s="250"/>
      <c r="TEM60" s="250"/>
      <c r="TEN60" s="250"/>
      <c r="TEO60" s="250"/>
      <c r="TEP60" s="250"/>
      <c r="TEQ60" s="250"/>
      <c r="TER60" s="250"/>
      <c r="TES60" s="250"/>
      <c r="TET60" s="250"/>
      <c r="TEU60" s="250"/>
      <c r="TEV60" s="250"/>
      <c r="TEW60" s="250"/>
      <c r="TEX60" s="250"/>
      <c r="TEY60" s="250"/>
      <c r="TEZ60" s="250"/>
      <c r="TFA60" s="250"/>
      <c r="TFB60" s="250"/>
      <c r="TFC60" s="250"/>
      <c r="TFD60" s="250"/>
      <c r="TFE60" s="250"/>
      <c r="TFF60" s="250"/>
      <c r="TFG60" s="250"/>
      <c r="TFH60" s="250"/>
      <c r="TFI60" s="250"/>
      <c r="TFJ60" s="250"/>
      <c r="TFK60" s="250"/>
      <c r="TFL60" s="250"/>
      <c r="TFM60" s="250"/>
      <c r="TFN60" s="250"/>
      <c r="TFO60" s="250"/>
      <c r="TFP60" s="250"/>
      <c r="TFQ60" s="250"/>
      <c r="TFR60" s="250"/>
      <c r="TFS60" s="250"/>
      <c r="TFT60" s="250"/>
      <c r="TFU60" s="250"/>
      <c r="TFV60" s="250"/>
      <c r="TFW60" s="250"/>
      <c r="TFX60" s="250"/>
      <c r="TFY60" s="250"/>
      <c r="TFZ60" s="250"/>
      <c r="TGA60" s="250"/>
      <c r="TGB60" s="250"/>
      <c r="TGC60" s="250"/>
      <c r="TGD60" s="250"/>
      <c r="TGE60" s="250"/>
      <c r="TGF60" s="250"/>
      <c r="TGG60" s="250"/>
      <c r="TGH60" s="250"/>
      <c r="TGI60" s="250"/>
      <c r="TGJ60" s="250"/>
      <c r="TGK60" s="250"/>
      <c r="TGL60" s="250"/>
      <c r="TGM60" s="250"/>
      <c r="TGN60" s="250"/>
      <c r="TGO60" s="250"/>
      <c r="TGP60" s="250"/>
      <c r="TGQ60" s="250"/>
      <c r="TGR60" s="250"/>
      <c r="TGS60" s="250"/>
      <c r="TGT60" s="250"/>
      <c r="TGU60" s="250"/>
      <c r="TGV60" s="250"/>
      <c r="TGW60" s="250"/>
      <c r="TGX60" s="250"/>
      <c r="TGY60" s="250"/>
      <c r="TGZ60" s="250"/>
      <c r="THA60" s="250"/>
      <c r="THB60" s="250"/>
      <c r="THC60" s="250"/>
      <c r="THD60" s="250"/>
      <c r="THE60" s="250"/>
      <c r="THF60" s="250"/>
      <c r="THG60" s="250"/>
      <c r="THH60" s="250"/>
      <c r="THI60" s="250"/>
      <c r="THJ60" s="250"/>
      <c r="THK60" s="250"/>
      <c r="THL60" s="250"/>
      <c r="THM60" s="250"/>
      <c r="THN60" s="250"/>
      <c r="THO60" s="250"/>
      <c r="THP60" s="250"/>
      <c r="THQ60" s="250"/>
      <c r="THR60" s="250"/>
      <c r="THS60" s="250"/>
      <c r="THT60" s="250"/>
      <c r="THU60" s="250"/>
      <c r="THV60" s="250"/>
      <c r="THW60" s="250"/>
      <c r="THX60" s="250"/>
      <c r="THY60" s="250"/>
      <c r="THZ60" s="250"/>
      <c r="TIA60" s="250"/>
      <c r="TIB60" s="250"/>
      <c r="TIC60" s="250"/>
      <c r="TID60" s="250"/>
      <c r="TIE60" s="250"/>
      <c r="TIF60" s="250"/>
      <c r="TIG60" s="250"/>
      <c r="TIH60" s="250"/>
      <c r="TII60" s="250"/>
      <c r="TIJ60" s="250"/>
      <c r="TIK60" s="250"/>
      <c r="TIL60" s="250"/>
      <c r="TIM60" s="250"/>
      <c r="TIN60" s="250"/>
      <c r="TIO60" s="250"/>
      <c r="TIP60" s="250"/>
      <c r="TIQ60" s="250"/>
      <c r="TIR60" s="250"/>
      <c r="TIS60" s="250"/>
      <c r="TIT60" s="250"/>
      <c r="TIU60" s="250"/>
      <c r="TIV60" s="250"/>
      <c r="TIW60" s="250"/>
      <c r="TIX60" s="250"/>
      <c r="TIY60" s="250"/>
      <c r="TIZ60" s="250"/>
      <c r="TJA60" s="250"/>
      <c r="TJB60" s="250"/>
      <c r="TJC60" s="250"/>
      <c r="TJD60" s="250"/>
      <c r="TJE60" s="250"/>
      <c r="TJF60" s="250"/>
      <c r="TJG60" s="250"/>
      <c r="TJH60" s="250"/>
      <c r="TJI60" s="250"/>
      <c r="TJJ60" s="250"/>
      <c r="TJK60" s="250"/>
      <c r="TJL60" s="250"/>
      <c r="TJM60" s="250"/>
      <c r="TJN60" s="250"/>
      <c r="TJO60" s="250"/>
      <c r="TJP60" s="250"/>
      <c r="TJQ60" s="250"/>
      <c r="TJR60" s="250"/>
      <c r="TJS60" s="250"/>
      <c r="TJT60" s="250"/>
      <c r="TJU60" s="250"/>
      <c r="TJV60" s="250"/>
      <c r="TJW60" s="250"/>
      <c r="TJX60" s="250"/>
      <c r="TJY60" s="250"/>
      <c r="TJZ60" s="250"/>
      <c r="TKA60" s="250"/>
      <c r="TKB60" s="250"/>
      <c r="TKC60" s="250"/>
      <c r="TKD60" s="250"/>
      <c r="TKE60" s="250"/>
      <c r="TKF60" s="250"/>
      <c r="TKG60" s="250"/>
      <c r="TKH60" s="250"/>
      <c r="TKI60" s="250"/>
      <c r="TKJ60" s="250"/>
      <c r="TKK60" s="250"/>
      <c r="TKL60" s="250"/>
      <c r="TKM60" s="250"/>
      <c r="TKN60" s="250"/>
      <c r="TKO60" s="250"/>
      <c r="TKP60" s="250"/>
      <c r="TKQ60" s="250"/>
      <c r="TKR60" s="250"/>
      <c r="TKS60" s="250"/>
      <c r="TKT60" s="250"/>
      <c r="TKU60" s="250"/>
      <c r="TKV60" s="250"/>
      <c r="TKW60" s="250"/>
      <c r="TKX60" s="250"/>
      <c r="TKY60" s="250"/>
      <c r="TKZ60" s="250"/>
      <c r="TLA60" s="250"/>
      <c r="TLB60" s="250"/>
      <c r="TLC60" s="250"/>
      <c r="TLD60" s="250"/>
      <c r="TLE60" s="250"/>
      <c r="TLF60" s="250"/>
      <c r="TLG60" s="250"/>
      <c r="TLH60" s="250"/>
      <c r="TLI60" s="250"/>
      <c r="TLJ60" s="250"/>
      <c r="TLK60" s="250"/>
      <c r="TLL60" s="250"/>
      <c r="TLM60" s="250"/>
      <c r="TLN60" s="250"/>
      <c r="TLO60" s="250"/>
      <c r="TLP60" s="250"/>
      <c r="TLQ60" s="250"/>
      <c r="TLR60" s="250"/>
      <c r="TLS60" s="250"/>
      <c r="TLT60" s="250"/>
      <c r="TLU60" s="250"/>
      <c r="TLV60" s="250"/>
      <c r="TLW60" s="250"/>
      <c r="TLX60" s="250"/>
      <c r="TLY60" s="250"/>
      <c r="TLZ60" s="250"/>
      <c r="TMA60" s="250"/>
      <c r="TMB60" s="250"/>
      <c r="TMC60" s="250"/>
      <c r="TMD60" s="250"/>
      <c r="TME60" s="250"/>
      <c r="TMF60" s="250"/>
      <c r="TMG60" s="250"/>
      <c r="TMH60" s="250"/>
      <c r="TMI60" s="250"/>
      <c r="TMJ60" s="250"/>
      <c r="TMK60" s="250"/>
      <c r="TML60" s="250"/>
      <c r="TMM60" s="250"/>
      <c r="TMN60" s="250"/>
      <c r="TMO60" s="250"/>
      <c r="TMP60" s="250"/>
      <c r="TMQ60" s="250"/>
      <c r="TMR60" s="250"/>
      <c r="TMS60" s="250"/>
      <c r="TMT60" s="250"/>
      <c r="TMU60" s="250"/>
      <c r="TMV60" s="250"/>
      <c r="TMW60" s="250"/>
      <c r="TMX60" s="250"/>
      <c r="TMY60" s="250"/>
      <c r="TMZ60" s="250"/>
      <c r="TNA60" s="250"/>
      <c r="TNB60" s="250"/>
      <c r="TNC60" s="250"/>
      <c r="TND60" s="250"/>
      <c r="TNE60" s="250"/>
      <c r="TNF60" s="250"/>
      <c r="TNG60" s="250"/>
      <c r="TNH60" s="250"/>
      <c r="TNI60" s="250"/>
      <c r="TNJ60" s="250"/>
      <c r="TNK60" s="250"/>
      <c r="TNL60" s="250"/>
      <c r="TNM60" s="250"/>
      <c r="TNN60" s="250"/>
      <c r="TNO60" s="250"/>
      <c r="TNP60" s="250"/>
      <c r="TNQ60" s="250"/>
      <c r="TNR60" s="250"/>
      <c r="TNS60" s="250"/>
      <c r="TNT60" s="250"/>
      <c r="TNU60" s="250"/>
      <c r="TNV60" s="250"/>
      <c r="TNW60" s="250"/>
      <c r="TNX60" s="250"/>
      <c r="TNY60" s="250"/>
      <c r="TNZ60" s="250"/>
      <c r="TOA60" s="250"/>
      <c r="TOB60" s="250"/>
      <c r="TOC60" s="250"/>
      <c r="TOD60" s="250"/>
      <c r="TOE60" s="250"/>
      <c r="TOF60" s="250"/>
      <c r="TOG60" s="250"/>
      <c r="TOH60" s="250"/>
      <c r="TOI60" s="250"/>
      <c r="TOJ60" s="250"/>
      <c r="TOK60" s="250"/>
      <c r="TOL60" s="250"/>
      <c r="TOM60" s="250"/>
      <c r="TON60" s="250"/>
      <c r="TOO60" s="250"/>
      <c r="TOP60" s="250"/>
      <c r="TOQ60" s="250"/>
      <c r="TOR60" s="250"/>
      <c r="TOS60" s="250"/>
      <c r="TOT60" s="250"/>
      <c r="TOU60" s="250"/>
      <c r="TOV60" s="250"/>
      <c r="TOW60" s="250"/>
      <c r="TOX60" s="250"/>
      <c r="TOY60" s="250"/>
      <c r="TOZ60" s="250"/>
      <c r="TPA60" s="250"/>
      <c r="TPB60" s="250"/>
      <c r="TPC60" s="250"/>
      <c r="TPD60" s="250"/>
      <c r="TPE60" s="250"/>
      <c r="TPF60" s="250"/>
      <c r="TPG60" s="250"/>
      <c r="TPH60" s="250"/>
      <c r="TPI60" s="250"/>
      <c r="TPJ60" s="250"/>
      <c r="TPK60" s="250"/>
      <c r="TPL60" s="250"/>
      <c r="TPM60" s="250"/>
      <c r="TPN60" s="250"/>
      <c r="TPO60" s="250"/>
      <c r="TPP60" s="250"/>
      <c r="TPQ60" s="250"/>
      <c r="TPR60" s="250"/>
      <c r="TPS60" s="250"/>
      <c r="TPT60" s="250"/>
      <c r="TPU60" s="250"/>
      <c r="TPV60" s="250"/>
      <c r="TPW60" s="250"/>
      <c r="TPX60" s="250"/>
      <c r="TPY60" s="250"/>
      <c r="TPZ60" s="250"/>
      <c r="TQA60" s="250"/>
      <c r="TQB60" s="250"/>
      <c r="TQC60" s="250"/>
      <c r="TQD60" s="250"/>
      <c r="TQE60" s="250"/>
      <c r="TQF60" s="250"/>
      <c r="TQG60" s="250"/>
      <c r="TQH60" s="250"/>
      <c r="TQI60" s="250"/>
      <c r="TQJ60" s="250"/>
      <c r="TQK60" s="250"/>
      <c r="TQL60" s="250"/>
      <c r="TQM60" s="250"/>
      <c r="TQN60" s="250"/>
      <c r="TQO60" s="250"/>
      <c r="TQP60" s="250"/>
      <c r="TQQ60" s="250"/>
      <c r="TQR60" s="250"/>
      <c r="TQS60" s="250"/>
      <c r="TQT60" s="250"/>
      <c r="TQU60" s="250"/>
      <c r="TQV60" s="250"/>
      <c r="TQW60" s="250"/>
      <c r="TQX60" s="250"/>
      <c r="TQY60" s="250"/>
      <c r="TQZ60" s="250"/>
      <c r="TRA60" s="250"/>
      <c r="TRB60" s="250"/>
      <c r="TRC60" s="250"/>
      <c r="TRD60" s="250"/>
      <c r="TRE60" s="250"/>
      <c r="TRF60" s="250"/>
      <c r="TRG60" s="250"/>
      <c r="TRH60" s="250"/>
      <c r="TRI60" s="250"/>
      <c r="TRJ60" s="250"/>
      <c r="TRK60" s="250"/>
      <c r="TRL60" s="250"/>
      <c r="TRM60" s="250"/>
      <c r="TRN60" s="250"/>
      <c r="TRO60" s="250"/>
      <c r="TRP60" s="250"/>
      <c r="TRQ60" s="250"/>
      <c r="TRR60" s="250"/>
      <c r="TRS60" s="250"/>
      <c r="TRT60" s="250"/>
      <c r="TRU60" s="250"/>
      <c r="TRV60" s="250"/>
      <c r="TRW60" s="250"/>
      <c r="TRX60" s="250"/>
      <c r="TRY60" s="250"/>
      <c r="TRZ60" s="250"/>
      <c r="TSA60" s="250"/>
      <c r="TSB60" s="250"/>
      <c r="TSC60" s="250"/>
      <c r="TSD60" s="250"/>
      <c r="TSE60" s="250"/>
      <c r="TSF60" s="250"/>
      <c r="TSG60" s="250"/>
      <c r="TSH60" s="250"/>
      <c r="TSI60" s="250"/>
      <c r="TSJ60" s="250"/>
      <c r="TSK60" s="250"/>
      <c r="TSL60" s="250"/>
      <c r="TSM60" s="250"/>
      <c r="TSN60" s="250"/>
      <c r="TSO60" s="250"/>
      <c r="TSP60" s="250"/>
      <c r="TSQ60" s="250"/>
      <c r="TSR60" s="250"/>
      <c r="TSS60" s="250"/>
      <c r="TST60" s="250"/>
      <c r="TSU60" s="250"/>
      <c r="TSV60" s="250"/>
      <c r="TSW60" s="250"/>
      <c r="TSX60" s="250"/>
      <c r="TSY60" s="250"/>
      <c r="TSZ60" s="250"/>
      <c r="TTA60" s="250"/>
      <c r="TTB60" s="250"/>
      <c r="TTC60" s="250"/>
      <c r="TTD60" s="250"/>
      <c r="TTE60" s="250"/>
      <c r="TTF60" s="250"/>
      <c r="TTG60" s="250"/>
      <c r="TTH60" s="250"/>
      <c r="TTI60" s="250"/>
      <c r="TTJ60" s="250"/>
      <c r="TTK60" s="250"/>
      <c r="TTL60" s="250"/>
      <c r="TTM60" s="250"/>
      <c r="TTN60" s="250"/>
      <c r="TTO60" s="250"/>
      <c r="TTP60" s="250"/>
      <c r="TTQ60" s="250"/>
      <c r="TTR60" s="250"/>
      <c r="TTS60" s="250"/>
      <c r="TTT60" s="250"/>
      <c r="TTU60" s="250"/>
      <c r="TTV60" s="250"/>
      <c r="TTW60" s="250"/>
      <c r="TTX60" s="250"/>
      <c r="TTY60" s="250"/>
      <c r="TTZ60" s="250"/>
      <c r="TUA60" s="250"/>
      <c r="TUB60" s="250"/>
      <c r="TUC60" s="250"/>
      <c r="TUD60" s="250"/>
      <c r="TUE60" s="250"/>
      <c r="TUF60" s="250"/>
      <c r="TUG60" s="250"/>
      <c r="TUH60" s="250"/>
      <c r="TUI60" s="250"/>
      <c r="TUJ60" s="250"/>
      <c r="TUK60" s="250"/>
      <c r="TUL60" s="250"/>
      <c r="TUM60" s="250"/>
      <c r="TUN60" s="250"/>
      <c r="TUO60" s="250"/>
      <c r="TUP60" s="250"/>
      <c r="TUQ60" s="250"/>
      <c r="TUR60" s="250"/>
      <c r="TUS60" s="250"/>
      <c r="TUT60" s="250"/>
      <c r="TUU60" s="250"/>
      <c r="TUV60" s="250"/>
      <c r="TUW60" s="250"/>
      <c r="TUX60" s="250"/>
      <c r="TUY60" s="250"/>
      <c r="TUZ60" s="250"/>
      <c r="TVA60" s="250"/>
      <c r="TVB60" s="250"/>
      <c r="TVC60" s="250"/>
      <c r="TVD60" s="250"/>
      <c r="TVE60" s="250"/>
      <c r="TVF60" s="250"/>
      <c r="TVG60" s="250"/>
      <c r="TVH60" s="250"/>
      <c r="TVI60" s="250"/>
      <c r="TVJ60" s="250"/>
      <c r="TVK60" s="250"/>
      <c r="TVL60" s="250"/>
      <c r="TVM60" s="250"/>
      <c r="TVN60" s="250"/>
      <c r="TVO60" s="250"/>
      <c r="TVP60" s="250"/>
      <c r="TVQ60" s="250"/>
      <c r="TVR60" s="250"/>
      <c r="TVS60" s="250"/>
      <c r="TVT60" s="250"/>
      <c r="TVU60" s="250"/>
      <c r="TVV60" s="250"/>
      <c r="TVW60" s="250"/>
      <c r="TVX60" s="250"/>
      <c r="TVY60" s="250"/>
      <c r="TVZ60" s="250"/>
      <c r="TWA60" s="250"/>
      <c r="TWB60" s="250"/>
      <c r="TWC60" s="250"/>
      <c r="TWD60" s="250"/>
      <c r="TWE60" s="250"/>
      <c r="TWF60" s="250"/>
      <c r="TWG60" s="250"/>
      <c r="TWH60" s="250"/>
      <c r="TWI60" s="250"/>
      <c r="TWJ60" s="250"/>
      <c r="TWK60" s="250"/>
      <c r="TWL60" s="250"/>
      <c r="TWM60" s="250"/>
      <c r="TWN60" s="250"/>
      <c r="TWO60" s="250"/>
      <c r="TWP60" s="250"/>
      <c r="TWQ60" s="250"/>
      <c r="TWR60" s="250"/>
      <c r="TWS60" s="250"/>
      <c r="TWT60" s="250"/>
      <c r="TWU60" s="250"/>
      <c r="TWV60" s="250"/>
      <c r="TWW60" s="250"/>
      <c r="TWX60" s="250"/>
      <c r="TWY60" s="250"/>
      <c r="TWZ60" s="250"/>
      <c r="TXA60" s="250"/>
      <c r="TXB60" s="250"/>
      <c r="TXC60" s="250"/>
      <c r="TXD60" s="250"/>
      <c r="TXE60" s="250"/>
      <c r="TXF60" s="250"/>
      <c r="TXG60" s="250"/>
      <c r="TXH60" s="250"/>
      <c r="TXI60" s="250"/>
      <c r="TXJ60" s="250"/>
      <c r="TXK60" s="250"/>
      <c r="TXL60" s="250"/>
      <c r="TXM60" s="250"/>
      <c r="TXN60" s="250"/>
      <c r="TXO60" s="250"/>
      <c r="TXP60" s="250"/>
      <c r="TXQ60" s="250"/>
      <c r="TXR60" s="250"/>
      <c r="TXS60" s="250"/>
      <c r="TXT60" s="250"/>
      <c r="TXU60" s="250"/>
      <c r="TXV60" s="250"/>
      <c r="TXW60" s="250"/>
      <c r="TXX60" s="250"/>
      <c r="TXY60" s="250"/>
      <c r="TXZ60" s="250"/>
      <c r="TYA60" s="250"/>
      <c r="TYB60" s="250"/>
      <c r="TYC60" s="250"/>
      <c r="TYD60" s="250"/>
      <c r="TYE60" s="250"/>
      <c r="TYF60" s="250"/>
      <c r="TYG60" s="250"/>
      <c r="TYH60" s="250"/>
      <c r="TYI60" s="250"/>
      <c r="TYJ60" s="250"/>
      <c r="TYK60" s="250"/>
      <c r="TYL60" s="250"/>
      <c r="TYM60" s="250"/>
      <c r="TYN60" s="250"/>
      <c r="TYO60" s="250"/>
      <c r="TYP60" s="250"/>
      <c r="TYQ60" s="250"/>
      <c r="TYR60" s="250"/>
      <c r="TYS60" s="250"/>
      <c r="TYT60" s="250"/>
      <c r="TYU60" s="250"/>
      <c r="TYV60" s="250"/>
      <c r="TYW60" s="250"/>
      <c r="TYX60" s="250"/>
      <c r="TYY60" s="250"/>
      <c r="TYZ60" s="250"/>
      <c r="TZA60" s="250"/>
      <c r="TZB60" s="250"/>
      <c r="TZC60" s="250"/>
      <c r="TZD60" s="250"/>
      <c r="TZE60" s="250"/>
      <c r="TZF60" s="250"/>
      <c r="TZG60" s="250"/>
      <c r="TZH60" s="250"/>
      <c r="TZI60" s="250"/>
      <c r="TZJ60" s="250"/>
      <c r="TZK60" s="250"/>
      <c r="TZL60" s="250"/>
      <c r="TZM60" s="250"/>
      <c r="TZN60" s="250"/>
      <c r="TZO60" s="250"/>
      <c r="TZP60" s="250"/>
      <c r="TZQ60" s="250"/>
      <c r="TZR60" s="250"/>
      <c r="TZS60" s="250"/>
      <c r="TZT60" s="250"/>
      <c r="TZU60" s="250"/>
      <c r="TZV60" s="250"/>
      <c r="TZW60" s="250"/>
      <c r="TZX60" s="250"/>
      <c r="TZY60" s="250"/>
      <c r="TZZ60" s="250"/>
      <c r="UAA60" s="250"/>
      <c r="UAB60" s="250"/>
      <c r="UAC60" s="250"/>
      <c r="UAD60" s="250"/>
      <c r="UAE60" s="250"/>
      <c r="UAF60" s="250"/>
      <c r="UAG60" s="250"/>
      <c r="UAH60" s="250"/>
      <c r="UAI60" s="250"/>
      <c r="UAJ60" s="250"/>
      <c r="UAK60" s="250"/>
      <c r="UAL60" s="250"/>
      <c r="UAM60" s="250"/>
      <c r="UAN60" s="250"/>
      <c r="UAO60" s="250"/>
      <c r="UAP60" s="250"/>
      <c r="UAQ60" s="250"/>
      <c r="UAR60" s="250"/>
      <c r="UAS60" s="250"/>
      <c r="UAT60" s="250"/>
      <c r="UAU60" s="250"/>
      <c r="UAV60" s="250"/>
      <c r="UAW60" s="250"/>
      <c r="UAX60" s="250"/>
      <c r="UAY60" s="250"/>
      <c r="UAZ60" s="250"/>
      <c r="UBA60" s="250"/>
      <c r="UBB60" s="250"/>
      <c r="UBC60" s="250"/>
      <c r="UBD60" s="250"/>
      <c r="UBE60" s="250"/>
      <c r="UBF60" s="250"/>
      <c r="UBG60" s="250"/>
      <c r="UBH60" s="250"/>
      <c r="UBI60" s="250"/>
      <c r="UBJ60" s="250"/>
      <c r="UBK60" s="250"/>
      <c r="UBL60" s="250"/>
      <c r="UBM60" s="250"/>
      <c r="UBN60" s="250"/>
      <c r="UBO60" s="250"/>
      <c r="UBP60" s="250"/>
      <c r="UBQ60" s="250"/>
      <c r="UBR60" s="250"/>
      <c r="UBS60" s="250"/>
      <c r="UBT60" s="250"/>
      <c r="UBU60" s="250"/>
      <c r="UBV60" s="250"/>
      <c r="UBW60" s="250"/>
      <c r="UBX60" s="250"/>
      <c r="UBY60" s="250"/>
      <c r="UBZ60" s="250"/>
      <c r="UCA60" s="250"/>
      <c r="UCB60" s="250"/>
      <c r="UCC60" s="250"/>
      <c r="UCD60" s="250"/>
      <c r="UCE60" s="250"/>
      <c r="UCF60" s="250"/>
      <c r="UCG60" s="250"/>
      <c r="UCH60" s="250"/>
      <c r="UCI60" s="250"/>
      <c r="UCJ60" s="250"/>
      <c r="UCK60" s="250"/>
      <c r="UCL60" s="250"/>
      <c r="UCM60" s="250"/>
      <c r="UCN60" s="250"/>
      <c r="UCO60" s="250"/>
      <c r="UCP60" s="250"/>
      <c r="UCQ60" s="250"/>
      <c r="UCR60" s="250"/>
      <c r="UCS60" s="250"/>
      <c r="UCT60" s="250"/>
      <c r="UCU60" s="250"/>
      <c r="UCV60" s="250"/>
      <c r="UCW60" s="250"/>
      <c r="UCX60" s="250"/>
      <c r="UCY60" s="250"/>
      <c r="UCZ60" s="250"/>
      <c r="UDA60" s="250"/>
      <c r="UDB60" s="250"/>
      <c r="UDC60" s="250"/>
      <c r="UDD60" s="250"/>
      <c r="UDE60" s="250"/>
      <c r="UDF60" s="250"/>
      <c r="UDG60" s="250"/>
      <c r="UDH60" s="250"/>
      <c r="UDI60" s="250"/>
      <c r="UDJ60" s="250"/>
      <c r="UDK60" s="250"/>
      <c r="UDL60" s="250"/>
      <c r="UDM60" s="250"/>
      <c r="UDN60" s="250"/>
      <c r="UDO60" s="250"/>
      <c r="UDP60" s="250"/>
      <c r="UDQ60" s="250"/>
      <c r="UDR60" s="250"/>
      <c r="UDS60" s="250"/>
      <c r="UDT60" s="250"/>
      <c r="UDU60" s="250"/>
      <c r="UDV60" s="250"/>
      <c r="UDW60" s="250"/>
      <c r="UDX60" s="250"/>
      <c r="UDY60" s="250"/>
      <c r="UDZ60" s="250"/>
      <c r="UEA60" s="250"/>
      <c r="UEB60" s="250"/>
      <c r="UEC60" s="250"/>
      <c r="UED60" s="250"/>
      <c r="UEE60" s="250"/>
      <c r="UEF60" s="250"/>
      <c r="UEG60" s="250"/>
      <c r="UEH60" s="250"/>
      <c r="UEI60" s="250"/>
      <c r="UEJ60" s="250"/>
      <c r="UEK60" s="250"/>
      <c r="UEL60" s="250"/>
      <c r="UEM60" s="250"/>
      <c r="UEN60" s="250"/>
      <c r="UEO60" s="250"/>
      <c r="UEP60" s="250"/>
      <c r="UEQ60" s="250"/>
      <c r="UER60" s="250"/>
      <c r="UES60" s="250"/>
      <c r="UET60" s="250"/>
      <c r="UEU60" s="250"/>
      <c r="UEV60" s="250"/>
      <c r="UEW60" s="250"/>
      <c r="UEX60" s="250"/>
      <c r="UEY60" s="250"/>
      <c r="UEZ60" s="250"/>
      <c r="UFA60" s="250"/>
      <c r="UFB60" s="250"/>
      <c r="UFC60" s="250"/>
      <c r="UFD60" s="250"/>
      <c r="UFE60" s="250"/>
      <c r="UFF60" s="250"/>
      <c r="UFG60" s="250"/>
      <c r="UFH60" s="250"/>
      <c r="UFI60" s="250"/>
      <c r="UFJ60" s="250"/>
      <c r="UFK60" s="250"/>
      <c r="UFL60" s="250"/>
      <c r="UFM60" s="250"/>
      <c r="UFN60" s="250"/>
      <c r="UFO60" s="250"/>
      <c r="UFP60" s="250"/>
      <c r="UFQ60" s="250"/>
      <c r="UFR60" s="250"/>
      <c r="UFS60" s="250"/>
      <c r="UFT60" s="250"/>
      <c r="UFU60" s="250"/>
      <c r="UFV60" s="250"/>
      <c r="UFW60" s="250"/>
      <c r="UFX60" s="250"/>
      <c r="UFY60" s="250"/>
      <c r="UFZ60" s="250"/>
      <c r="UGA60" s="250"/>
      <c r="UGB60" s="250"/>
      <c r="UGC60" s="250"/>
      <c r="UGD60" s="250"/>
      <c r="UGE60" s="250"/>
      <c r="UGF60" s="250"/>
      <c r="UGG60" s="250"/>
      <c r="UGH60" s="250"/>
      <c r="UGI60" s="250"/>
      <c r="UGJ60" s="250"/>
      <c r="UGK60" s="250"/>
      <c r="UGL60" s="250"/>
      <c r="UGM60" s="250"/>
      <c r="UGN60" s="250"/>
      <c r="UGO60" s="250"/>
      <c r="UGP60" s="250"/>
      <c r="UGQ60" s="250"/>
      <c r="UGR60" s="250"/>
      <c r="UGS60" s="250"/>
      <c r="UGT60" s="250"/>
      <c r="UGU60" s="250"/>
      <c r="UGV60" s="250"/>
      <c r="UGW60" s="250"/>
      <c r="UGX60" s="250"/>
      <c r="UGY60" s="250"/>
      <c r="UGZ60" s="250"/>
      <c r="UHA60" s="250"/>
      <c r="UHB60" s="250"/>
      <c r="UHC60" s="250"/>
      <c r="UHD60" s="250"/>
      <c r="UHE60" s="250"/>
      <c r="UHF60" s="250"/>
      <c r="UHG60" s="250"/>
      <c r="UHH60" s="250"/>
      <c r="UHI60" s="250"/>
      <c r="UHJ60" s="250"/>
      <c r="UHK60" s="250"/>
      <c r="UHL60" s="250"/>
      <c r="UHM60" s="250"/>
      <c r="UHN60" s="250"/>
      <c r="UHO60" s="250"/>
      <c r="UHP60" s="250"/>
      <c r="UHQ60" s="250"/>
      <c r="UHR60" s="250"/>
      <c r="UHS60" s="250"/>
      <c r="UHT60" s="250"/>
      <c r="UHU60" s="250"/>
      <c r="UHV60" s="250"/>
      <c r="UHW60" s="250"/>
      <c r="UHX60" s="250"/>
      <c r="UHY60" s="250"/>
      <c r="UHZ60" s="250"/>
      <c r="UIA60" s="250"/>
      <c r="UIB60" s="250"/>
      <c r="UIC60" s="250"/>
      <c r="UID60" s="250"/>
      <c r="UIE60" s="250"/>
      <c r="UIF60" s="250"/>
      <c r="UIG60" s="250"/>
      <c r="UIH60" s="250"/>
      <c r="UII60" s="250"/>
      <c r="UIJ60" s="250"/>
      <c r="UIK60" s="250"/>
      <c r="UIL60" s="250"/>
      <c r="UIM60" s="250"/>
      <c r="UIN60" s="250"/>
      <c r="UIO60" s="250"/>
      <c r="UIP60" s="250"/>
      <c r="UIQ60" s="250"/>
      <c r="UIR60" s="250"/>
      <c r="UIS60" s="250"/>
      <c r="UIT60" s="250"/>
      <c r="UIU60" s="250"/>
      <c r="UIV60" s="250"/>
      <c r="UIW60" s="250"/>
      <c r="UIX60" s="250"/>
      <c r="UIY60" s="250"/>
      <c r="UIZ60" s="250"/>
      <c r="UJA60" s="250"/>
      <c r="UJB60" s="250"/>
      <c r="UJC60" s="250"/>
      <c r="UJD60" s="250"/>
      <c r="UJE60" s="250"/>
      <c r="UJF60" s="250"/>
      <c r="UJG60" s="250"/>
      <c r="UJH60" s="250"/>
      <c r="UJI60" s="250"/>
      <c r="UJJ60" s="250"/>
      <c r="UJK60" s="250"/>
      <c r="UJL60" s="250"/>
      <c r="UJM60" s="250"/>
      <c r="UJN60" s="250"/>
      <c r="UJO60" s="250"/>
      <c r="UJP60" s="250"/>
      <c r="UJQ60" s="250"/>
      <c r="UJR60" s="250"/>
      <c r="UJS60" s="250"/>
      <c r="UJT60" s="250"/>
      <c r="UJU60" s="250"/>
      <c r="UJV60" s="250"/>
      <c r="UJW60" s="250"/>
      <c r="UJX60" s="250"/>
      <c r="UJY60" s="250"/>
      <c r="UJZ60" s="250"/>
      <c r="UKA60" s="250"/>
      <c r="UKB60" s="250"/>
      <c r="UKC60" s="250"/>
      <c r="UKD60" s="250"/>
      <c r="UKE60" s="250"/>
      <c r="UKF60" s="250"/>
      <c r="UKG60" s="250"/>
      <c r="UKH60" s="250"/>
      <c r="UKI60" s="250"/>
      <c r="UKJ60" s="250"/>
      <c r="UKK60" s="250"/>
      <c r="UKL60" s="250"/>
      <c r="UKM60" s="250"/>
      <c r="UKN60" s="250"/>
      <c r="UKO60" s="250"/>
      <c r="UKP60" s="250"/>
      <c r="UKQ60" s="250"/>
      <c r="UKR60" s="250"/>
      <c r="UKS60" s="250"/>
      <c r="UKT60" s="250"/>
      <c r="UKU60" s="250"/>
      <c r="UKV60" s="250"/>
      <c r="UKW60" s="250"/>
      <c r="UKX60" s="250"/>
      <c r="UKY60" s="250"/>
      <c r="UKZ60" s="250"/>
      <c r="ULA60" s="250"/>
      <c r="ULB60" s="250"/>
      <c r="ULC60" s="250"/>
      <c r="ULD60" s="250"/>
      <c r="ULE60" s="250"/>
      <c r="ULF60" s="250"/>
      <c r="ULG60" s="250"/>
      <c r="ULH60" s="250"/>
      <c r="ULI60" s="250"/>
      <c r="ULJ60" s="250"/>
      <c r="ULK60" s="250"/>
      <c r="ULL60" s="250"/>
      <c r="ULM60" s="250"/>
      <c r="ULN60" s="250"/>
      <c r="ULO60" s="250"/>
      <c r="ULP60" s="250"/>
      <c r="ULQ60" s="250"/>
      <c r="ULR60" s="250"/>
      <c r="ULS60" s="250"/>
      <c r="ULT60" s="250"/>
      <c r="ULU60" s="250"/>
      <c r="ULV60" s="250"/>
      <c r="ULW60" s="250"/>
      <c r="ULX60" s="250"/>
      <c r="ULY60" s="250"/>
      <c r="ULZ60" s="250"/>
      <c r="UMA60" s="250"/>
      <c r="UMB60" s="250"/>
      <c r="UMC60" s="250"/>
      <c r="UMD60" s="250"/>
      <c r="UME60" s="250"/>
      <c r="UMF60" s="250"/>
      <c r="UMG60" s="250"/>
      <c r="UMH60" s="250"/>
      <c r="UMI60" s="250"/>
      <c r="UMJ60" s="250"/>
      <c r="UMK60" s="250"/>
      <c r="UML60" s="250"/>
      <c r="UMM60" s="250"/>
      <c r="UMN60" s="250"/>
      <c r="UMO60" s="250"/>
      <c r="UMP60" s="250"/>
      <c r="UMQ60" s="250"/>
      <c r="UMR60" s="250"/>
      <c r="UMS60" s="250"/>
      <c r="UMT60" s="250"/>
      <c r="UMU60" s="250"/>
      <c r="UMV60" s="250"/>
      <c r="UMW60" s="250"/>
      <c r="UMX60" s="250"/>
      <c r="UMY60" s="250"/>
      <c r="UMZ60" s="250"/>
      <c r="UNA60" s="250"/>
      <c r="UNB60" s="250"/>
      <c r="UNC60" s="250"/>
      <c r="UND60" s="250"/>
      <c r="UNE60" s="250"/>
      <c r="UNF60" s="250"/>
      <c r="UNG60" s="250"/>
      <c r="UNH60" s="250"/>
      <c r="UNI60" s="250"/>
      <c r="UNJ60" s="250"/>
      <c r="UNK60" s="250"/>
      <c r="UNL60" s="250"/>
      <c r="UNM60" s="250"/>
      <c r="UNN60" s="250"/>
      <c r="UNO60" s="250"/>
      <c r="UNP60" s="250"/>
      <c r="UNQ60" s="250"/>
      <c r="UNR60" s="250"/>
      <c r="UNS60" s="250"/>
      <c r="UNT60" s="250"/>
      <c r="UNU60" s="250"/>
      <c r="UNV60" s="250"/>
      <c r="UNW60" s="250"/>
      <c r="UNX60" s="250"/>
      <c r="UNY60" s="250"/>
      <c r="UNZ60" s="250"/>
      <c r="UOA60" s="250"/>
      <c r="UOB60" s="250"/>
      <c r="UOC60" s="250"/>
      <c r="UOD60" s="250"/>
      <c r="UOE60" s="250"/>
      <c r="UOF60" s="250"/>
      <c r="UOG60" s="250"/>
      <c r="UOH60" s="250"/>
      <c r="UOI60" s="250"/>
      <c r="UOJ60" s="250"/>
      <c r="UOK60" s="250"/>
      <c r="UOL60" s="250"/>
      <c r="UOM60" s="250"/>
      <c r="UON60" s="250"/>
      <c r="UOO60" s="250"/>
      <c r="UOP60" s="250"/>
      <c r="UOQ60" s="250"/>
      <c r="UOR60" s="250"/>
      <c r="UOS60" s="250"/>
      <c r="UOT60" s="250"/>
      <c r="UOU60" s="250"/>
      <c r="UOV60" s="250"/>
      <c r="UOW60" s="250"/>
      <c r="UOX60" s="250"/>
      <c r="UOY60" s="250"/>
      <c r="UOZ60" s="250"/>
      <c r="UPA60" s="250"/>
      <c r="UPB60" s="250"/>
      <c r="UPC60" s="250"/>
      <c r="UPD60" s="250"/>
      <c r="UPE60" s="250"/>
      <c r="UPF60" s="250"/>
      <c r="UPG60" s="250"/>
      <c r="UPH60" s="250"/>
      <c r="UPI60" s="250"/>
      <c r="UPJ60" s="250"/>
      <c r="UPK60" s="250"/>
      <c r="UPL60" s="250"/>
      <c r="UPM60" s="250"/>
      <c r="UPN60" s="250"/>
      <c r="UPO60" s="250"/>
      <c r="UPP60" s="250"/>
      <c r="UPQ60" s="250"/>
      <c r="UPR60" s="250"/>
      <c r="UPS60" s="250"/>
      <c r="UPT60" s="250"/>
      <c r="UPU60" s="250"/>
      <c r="UPV60" s="250"/>
      <c r="UPW60" s="250"/>
      <c r="UPX60" s="250"/>
      <c r="UPY60" s="250"/>
      <c r="UPZ60" s="250"/>
      <c r="UQA60" s="250"/>
      <c r="UQB60" s="250"/>
      <c r="UQC60" s="250"/>
      <c r="UQD60" s="250"/>
      <c r="UQE60" s="250"/>
      <c r="UQF60" s="250"/>
      <c r="UQG60" s="250"/>
      <c r="UQH60" s="250"/>
      <c r="UQI60" s="250"/>
      <c r="UQJ60" s="250"/>
      <c r="UQK60" s="250"/>
      <c r="UQL60" s="250"/>
      <c r="UQM60" s="250"/>
      <c r="UQN60" s="250"/>
      <c r="UQO60" s="250"/>
      <c r="UQP60" s="250"/>
      <c r="UQQ60" s="250"/>
      <c r="UQR60" s="250"/>
      <c r="UQS60" s="250"/>
      <c r="UQT60" s="250"/>
      <c r="UQU60" s="250"/>
      <c r="UQV60" s="250"/>
      <c r="UQW60" s="250"/>
      <c r="UQX60" s="250"/>
      <c r="UQY60" s="250"/>
      <c r="UQZ60" s="250"/>
      <c r="URA60" s="250"/>
      <c r="URB60" s="250"/>
      <c r="URC60" s="250"/>
      <c r="URD60" s="250"/>
      <c r="URE60" s="250"/>
      <c r="URF60" s="250"/>
      <c r="URG60" s="250"/>
      <c r="URH60" s="250"/>
      <c r="URI60" s="250"/>
      <c r="URJ60" s="250"/>
      <c r="URK60" s="250"/>
      <c r="URL60" s="250"/>
      <c r="URM60" s="250"/>
      <c r="URN60" s="250"/>
      <c r="URO60" s="250"/>
      <c r="URP60" s="250"/>
      <c r="URQ60" s="250"/>
      <c r="URR60" s="250"/>
      <c r="URS60" s="250"/>
      <c r="URT60" s="250"/>
      <c r="URU60" s="250"/>
      <c r="URV60" s="250"/>
      <c r="URW60" s="250"/>
      <c r="URX60" s="250"/>
      <c r="URY60" s="250"/>
      <c r="URZ60" s="250"/>
      <c r="USA60" s="250"/>
      <c r="USB60" s="250"/>
      <c r="USC60" s="250"/>
      <c r="USD60" s="250"/>
      <c r="USE60" s="250"/>
      <c r="USF60" s="250"/>
      <c r="USG60" s="250"/>
      <c r="USH60" s="250"/>
      <c r="USI60" s="250"/>
      <c r="USJ60" s="250"/>
      <c r="USK60" s="250"/>
      <c r="USL60" s="250"/>
      <c r="USM60" s="250"/>
      <c r="USN60" s="250"/>
      <c r="USO60" s="250"/>
      <c r="USP60" s="250"/>
      <c r="USQ60" s="250"/>
      <c r="USR60" s="250"/>
      <c r="USS60" s="250"/>
      <c r="UST60" s="250"/>
      <c r="USU60" s="250"/>
      <c r="USV60" s="250"/>
      <c r="USW60" s="250"/>
      <c r="USX60" s="250"/>
      <c r="USY60" s="250"/>
      <c r="USZ60" s="250"/>
      <c r="UTA60" s="250"/>
      <c r="UTB60" s="250"/>
      <c r="UTC60" s="250"/>
      <c r="UTD60" s="250"/>
      <c r="UTE60" s="250"/>
      <c r="UTF60" s="250"/>
      <c r="UTG60" s="250"/>
      <c r="UTH60" s="250"/>
      <c r="UTI60" s="250"/>
      <c r="UTJ60" s="250"/>
      <c r="UTK60" s="250"/>
      <c r="UTL60" s="250"/>
      <c r="UTM60" s="250"/>
      <c r="UTN60" s="250"/>
      <c r="UTO60" s="250"/>
      <c r="UTP60" s="250"/>
      <c r="UTQ60" s="250"/>
      <c r="UTR60" s="250"/>
      <c r="UTS60" s="250"/>
      <c r="UTT60" s="250"/>
      <c r="UTU60" s="250"/>
      <c r="UTV60" s="250"/>
      <c r="UTW60" s="250"/>
      <c r="UTX60" s="250"/>
      <c r="UTY60" s="250"/>
      <c r="UTZ60" s="250"/>
      <c r="UUA60" s="250"/>
      <c r="UUB60" s="250"/>
      <c r="UUC60" s="250"/>
      <c r="UUD60" s="250"/>
      <c r="UUE60" s="250"/>
      <c r="UUF60" s="250"/>
      <c r="UUG60" s="250"/>
      <c r="UUH60" s="250"/>
      <c r="UUI60" s="250"/>
      <c r="UUJ60" s="250"/>
      <c r="UUK60" s="250"/>
      <c r="UUL60" s="250"/>
      <c r="UUM60" s="250"/>
      <c r="UUN60" s="250"/>
      <c r="UUO60" s="250"/>
      <c r="UUP60" s="250"/>
      <c r="UUQ60" s="250"/>
      <c r="UUR60" s="250"/>
      <c r="UUS60" s="250"/>
      <c r="UUT60" s="250"/>
      <c r="UUU60" s="250"/>
      <c r="UUV60" s="250"/>
      <c r="UUW60" s="250"/>
      <c r="UUX60" s="250"/>
      <c r="UUY60" s="250"/>
      <c r="UUZ60" s="250"/>
      <c r="UVA60" s="250"/>
      <c r="UVB60" s="250"/>
      <c r="UVC60" s="250"/>
      <c r="UVD60" s="250"/>
      <c r="UVE60" s="250"/>
      <c r="UVF60" s="250"/>
      <c r="UVG60" s="250"/>
      <c r="UVH60" s="250"/>
      <c r="UVI60" s="250"/>
      <c r="UVJ60" s="250"/>
      <c r="UVK60" s="250"/>
      <c r="UVL60" s="250"/>
      <c r="UVM60" s="250"/>
      <c r="UVN60" s="250"/>
      <c r="UVO60" s="250"/>
      <c r="UVP60" s="250"/>
      <c r="UVQ60" s="250"/>
      <c r="UVR60" s="250"/>
      <c r="UVS60" s="250"/>
      <c r="UVT60" s="250"/>
      <c r="UVU60" s="250"/>
      <c r="UVV60" s="250"/>
      <c r="UVW60" s="250"/>
      <c r="UVX60" s="250"/>
      <c r="UVY60" s="250"/>
      <c r="UVZ60" s="250"/>
      <c r="UWA60" s="250"/>
      <c r="UWB60" s="250"/>
      <c r="UWC60" s="250"/>
      <c r="UWD60" s="250"/>
      <c r="UWE60" s="250"/>
      <c r="UWF60" s="250"/>
      <c r="UWG60" s="250"/>
      <c r="UWH60" s="250"/>
      <c r="UWI60" s="250"/>
      <c r="UWJ60" s="250"/>
      <c r="UWK60" s="250"/>
      <c r="UWL60" s="250"/>
      <c r="UWM60" s="250"/>
      <c r="UWN60" s="250"/>
      <c r="UWO60" s="250"/>
      <c r="UWP60" s="250"/>
      <c r="UWQ60" s="250"/>
      <c r="UWR60" s="250"/>
      <c r="UWS60" s="250"/>
      <c r="UWT60" s="250"/>
      <c r="UWU60" s="250"/>
      <c r="UWV60" s="250"/>
      <c r="UWW60" s="250"/>
      <c r="UWX60" s="250"/>
      <c r="UWY60" s="250"/>
      <c r="UWZ60" s="250"/>
      <c r="UXA60" s="250"/>
      <c r="UXB60" s="250"/>
      <c r="UXC60" s="250"/>
      <c r="UXD60" s="250"/>
      <c r="UXE60" s="250"/>
      <c r="UXF60" s="250"/>
      <c r="UXG60" s="250"/>
      <c r="UXH60" s="250"/>
      <c r="UXI60" s="250"/>
      <c r="UXJ60" s="250"/>
      <c r="UXK60" s="250"/>
      <c r="UXL60" s="250"/>
      <c r="UXM60" s="250"/>
      <c r="UXN60" s="250"/>
      <c r="UXO60" s="250"/>
      <c r="UXP60" s="250"/>
      <c r="UXQ60" s="250"/>
      <c r="UXR60" s="250"/>
      <c r="UXS60" s="250"/>
      <c r="UXT60" s="250"/>
      <c r="UXU60" s="250"/>
      <c r="UXV60" s="250"/>
      <c r="UXW60" s="250"/>
      <c r="UXX60" s="250"/>
      <c r="UXY60" s="250"/>
      <c r="UXZ60" s="250"/>
      <c r="UYA60" s="250"/>
      <c r="UYB60" s="250"/>
      <c r="UYC60" s="250"/>
      <c r="UYD60" s="250"/>
      <c r="UYE60" s="250"/>
      <c r="UYF60" s="250"/>
      <c r="UYG60" s="250"/>
      <c r="UYH60" s="250"/>
      <c r="UYI60" s="250"/>
      <c r="UYJ60" s="250"/>
      <c r="UYK60" s="250"/>
      <c r="UYL60" s="250"/>
      <c r="UYM60" s="250"/>
      <c r="UYN60" s="250"/>
      <c r="UYO60" s="250"/>
      <c r="UYP60" s="250"/>
      <c r="UYQ60" s="250"/>
      <c r="UYR60" s="250"/>
      <c r="UYS60" s="250"/>
      <c r="UYT60" s="250"/>
      <c r="UYU60" s="250"/>
      <c r="UYV60" s="250"/>
      <c r="UYW60" s="250"/>
      <c r="UYX60" s="250"/>
      <c r="UYY60" s="250"/>
      <c r="UYZ60" s="250"/>
      <c r="UZA60" s="250"/>
      <c r="UZB60" s="250"/>
      <c r="UZC60" s="250"/>
      <c r="UZD60" s="250"/>
      <c r="UZE60" s="250"/>
      <c r="UZF60" s="250"/>
      <c r="UZG60" s="250"/>
      <c r="UZH60" s="250"/>
      <c r="UZI60" s="250"/>
      <c r="UZJ60" s="250"/>
      <c r="UZK60" s="250"/>
      <c r="UZL60" s="250"/>
      <c r="UZM60" s="250"/>
      <c r="UZN60" s="250"/>
      <c r="UZO60" s="250"/>
      <c r="UZP60" s="250"/>
      <c r="UZQ60" s="250"/>
      <c r="UZR60" s="250"/>
      <c r="UZS60" s="250"/>
      <c r="UZT60" s="250"/>
      <c r="UZU60" s="250"/>
      <c r="UZV60" s="250"/>
      <c r="UZW60" s="250"/>
      <c r="UZX60" s="250"/>
      <c r="UZY60" s="250"/>
      <c r="UZZ60" s="250"/>
      <c r="VAA60" s="250"/>
      <c r="VAB60" s="250"/>
      <c r="VAC60" s="250"/>
      <c r="VAD60" s="250"/>
      <c r="VAE60" s="250"/>
      <c r="VAF60" s="250"/>
      <c r="VAG60" s="250"/>
      <c r="VAH60" s="250"/>
      <c r="VAI60" s="250"/>
      <c r="VAJ60" s="250"/>
      <c r="VAK60" s="250"/>
      <c r="VAL60" s="250"/>
      <c r="VAM60" s="250"/>
      <c r="VAN60" s="250"/>
      <c r="VAO60" s="250"/>
      <c r="VAP60" s="250"/>
      <c r="VAQ60" s="250"/>
      <c r="VAR60" s="250"/>
      <c r="VAS60" s="250"/>
      <c r="VAT60" s="250"/>
      <c r="VAU60" s="250"/>
      <c r="VAV60" s="250"/>
      <c r="VAW60" s="250"/>
      <c r="VAX60" s="250"/>
      <c r="VAY60" s="250"/>
      <c r="VAZ60" s="250"/>
      <c r="VBA60" s="250"/>
      <c r="VBB60" s="250"/>
      <c r="VBC60" s="250"/>
      <c r="VBD60" s="250"/>
      <c r="VBE60" s="250"/>
      <c r="VBF60" s="250"/>
      <c r="VBG60" s="250"/>
      <c r="VBH60" s="250"/>
      <c r="VBI60" s="250"/>
      <c r="VBJ60" s="250"/>
      <c r="VBK60" s="250"/>
      <c r="VBL60" s="250"/>
      <c r="VBM60" s="250"/>
      <c r="VBN60" s="250"/>
      <c r="VBO60" s="250"/>
      <c r="VBP60" s="250"/>
      <c r="VBQ60" s="250"/>
      <c r="VBR60" s="250"/>
      <c r="VBS60" s="250"/>
      <c r="VBT60" s="250"/>
      <c r="VBU60" s="250"/>
      <c r="VBV60" s="250"/>
      <c r="VBW60" s="250"/>
      <c r="VBX60" s="250"/>
      <c r="VBY60" s="250"/>
      <c r="VBZ60" s="250"/>
      <c r="VCA60" s="250"/>
      <c r="VCB60" s="250"/>
      <c r="VCC60" s="250"/>
      <c r="VCD60" s="250"/>
      <c r="VCE60" s="250"/>
      <c r="VCF60" s="250"/>
      <c r="VCG60" s="250"/>
      <c r="VCH60" s="250"/>
      <c r="VCI60" s="250"/>
      <c r="VCJ60" s="250"/>
      <c r="VCK60" s="250"/>
      <c r="VCL60" s="250"/>
      <c r="VCM60" s="250"/>
      <c r="VCN60" s="250"/>
      <c r="VCO60" s="250"/>
      <c r="VCP60" s="250"/>
      <c r="VCQ60" s="250"/>
      <c r="VCR60" s="250"/>
      <c r="VCS60" s="250"/>
      <c r="VCT60" s="250"/>
      <c r="VCU60" s="250"/>
      <c r="VCV60" s="250"/>
      <c r="VCW60" s="250"/>
      <c r="VCX60" s="250"/>
      <c r="VCY60" s="250"/>
      <c r="VCZ60" s="250"/>
      <c r="VDA60" s="250"/>
      <c r="VDB60" s="250"/>
      <c r="VDC60" s="250"/>
      <c r="VDD60" s="250"/>
      <c r="VDE60" s="250"/>
      <c r="VDF60" s="250"/>
      <c r="VDG60" s="250"/>
      <c r="VDH60" s="250"/>
      <c r="VDI60" s="250"/>
      <c r="VDJ60" s="250"/>
      <c r="VDK60" s="250"/>
      <c r="VDL60" s="250"/>
      <c r="VDM60" s="250"/>
      <c r="VDN60" s="250"/>
      <c r="VDO60" s="250"/>
      <c r="VDP60" s="250"/>
      <c r="VDQ60" s="250"/>
      <c r="VDR60" s="250"/>
      <c r="VDS60" s="250"/>
      <c r="VDT60" s="250"/>
      <c r="VDU60" s="250"/>
      <c r="VDV60" s="250"/>
      <c r="VDW60" s="250"/>
      <c r="VDX60" s="250"/>
      <c r="VDY60" s="250"/>
      <c r="VDZ60" s="250"/>
      <c r="VEA60" s="250"/>
      <c r="VEB60" s="250"/>
      <c r="VEC60" s="250"/>
      <c r="VED60" s="250"/>
      <c r="VEE60" s="250"/>
      <c r="VEF60" s="250"/>
      <c r="VEG60" s="250"/>
      <c r="VEH60" s="250"/>
      <c r="VEI60" s="250"/>
      <c r="VEJ60" s="250"/>
      <c r="VEK60" s="250"/>
      <c r="VEL60" s="250"/>
      <c r="VEM60" s="250"/>
      <c r="VEN60" s="250"/>
      <c r="VEO60" s="250"/>
      <c r="VEP60" s="250"/>
      <c r="VEQ60" s="250"/>
      <c r="VER60" s="250"/>
      <c r="VES60" s="250"/>
      <c r="VET60" s="250"/>
      <c r="VEU60" s="250"/>
      <c r="VEV60" s="250"/>
      <c r="VEW60" s="250"/>
      <c r="VEX60" s="250"/>
      <c r="VEY60" s="250"/>
      <c r="VEZ60" s="250"/>
      <c r="VFA60" s="250"/>
      <c r="VFB60" s="250"/>
      <c r="VFC60" s="250"/>
      <c r="VFD60" s="250"/>
      <c r="VFE60" s="250"/>
      <c r="VFF60" s="250"/>
      <c r="VFG60" s="250"/>
      <c r="VFH60" s="250"/>
      <c r="VFI60" s="250"/>
      <c r="VFJ60" s="250"/>
      <c r="VFK60" s="250"/>
      <c r="VFL60" s="250"/>
      <c r="VFM60" s="250"/>
      <c r="VFN60" s="250"/>
      <c r="VFO60" s="250"/>
      <c r="VFP60" s="250"/>
      <c r="VFQ60" s="250"/>
      <c r="VFR60" s="250"/>
      <c r="VFS60" s="250"/>
      <c r="VFT60" s="250"/>
      <c r="VFU60" s="250"/>
      <c r="VFV60" s="250"/>
      <c r="VFW60" s="250"/>
      <c r="VFX60" s="250"/>
      <c r="VFY60" s="250"/>
      <c r="VFZ60" s="250"/>
      <c r="VGA60" s="250"/>
      <c r="VGB60" s="250"/>
      <c r="VGC60" s="250"/>
      <c r="VGD60" s="250"/>
      <c r="VGE60" s="250"/>
      <c r="VGF60" s="250"/>
      <c r="VGG60" s="250"/>
      <c r="VGH60" s="250"/>
      <c r="VGI60" s="250"/>
      <c r="VGJ60" s="250"/>
      <c r="VGK60" s="250"/>
      <c r="VGL60" s="250"/>
      <c r="VGM60" s="250"/>
      <c r="VGN60" s="250"/>
      <c r="VGO60" s="250"/>
      <c r="VGP60" s="250"/>
      <c r="VGQ60" s="250"/>
      <c r="VGR60" s="250"/>
      <c r="VGS60" s="250"/>
      <c r="VGT60" s="250"/>
      <c r="VGU60" s="250"/>
      <c r="VGV60" s="250"/>
      <c r="VGW60" s="250"/>
      <c r="VGX60" s="250"/>
      <c r="VGY60" s="250"/>
      <c r="VGZ60" s="250"/>
      <c r="VHA60" s="250"/>
      <c r="VHB60" s="250"/>
      <c r="VHC60" s="250"/>
      <c r="VHD60" s="250"/>
      <c r="VHE60" s="250"/>
      <c r="VHF60" s="250"/>
      <c r="VHG60" s="250"/>
      <c r="VHH60" s="250"/>
      <c r="VHI60" s="250"/>
      <c r="VHJ60" s="250"/>
      <c r="VHK60" s="250"/>
      <c r="VHL60" s="250"/>
      <c r="VHM60" s="250"/>
      <c r="VHN60" s="250"/>
      <c r="VHO60" s="250"/>
      <c r="VHP60" s="250"/>
      <c r="VHQ60" s="250"/>
      <c r="VHR60" s="250"/>
      <c r="VHS60" s="250"/>
      <c r="VHT60" s="250"/>
      <c r="VHU60" s="250"/>
      <c r="VHV60" s="250"/>
      <c r="VHW60" s="250"/>
      <c r="VHX60" s="250"/>
      <c r="VHY60" s="250"/>
      <c r="VHZ60" s="250"/>
      <c r="VIA60" s="250"/>
      <c r="VIB60" s="250"/>
      <c r="VIC60" s="250"/>
      <c r="VID60" s="250"/>
      <c r="VIE60" s="250"/>
      <c r="VIF60" s="250"/>
      <c r="VIG60" s="250"/>
      <c r="VIH60" s="250"/>
      <c r="VII60" s="250"/>
      <c r="VIJ60" s="250"/>
      <c r="VIK60" s="250"/>
      <c r="VIL60" s="250"/>
      <c r="VIM60" s="250"/>
      <c r="VIN60" s="250"/>
      <c r="VIO60" s="250"/>
      <c r="VIP60" s="250"/>
      <c r="VIQ60" s="250"/>
      <c r="VIR60" s="250"/>
      <c r="VIS60" s="250"/>
      <c r="VIT60" s="250"/>
      <c r="VIU60" s="250"/>
      <c r="VIV60" s="250"/>
      <c r="VIW60" s="250"/>
      <c r="VIX60" s="250"/>
      <c r="VIY60" s="250"/>
      <c r="VIZ60" s="250"/>
      <c r="VJA60" s="250"/>
      <c r="VJB60" s="250"/>
      <c r="VJC60" s="250"/>
      <c r="VJD60" s="250"/>
      <c r="VJE60" s="250"/>
      <c r="VJF60" s="250"/>
      <c r="VJG60" s="250"/>
      <c r="VJH60" s="250"/>
      <c r="VJI60" s="250"/>
      <c r="VJJ60" s="250"/>
      <c r="VJK60" s="250"/>
      <c r="VJL60" s="250"/>
      <c r="VJM60" s="250"/>
      <c r="VJN60" s="250"/>
      <c r="VJO60" s="250"/>
      <c r="VJP60" s="250"/>
      <c r="VJQ60" s="250"/>
      <c r="VJR60" s="250"/>
      <c r="VJS60" s="250"/>
      <c r="VJT60" s="250"/>
      <c r="VJU60" s="250"/>
      <c r="VJV60" s="250"/>
      <c r="VJW60" s="250"/>
      <c r="VJX60" s="250"/>
      <c r="VJY60" s="250"/>
      <c r="VJZ60" s="250"/>
      <c r="VKA60" s="250"/>
      <c r="VKB60" s="250"/>
      <c r="VKC60" s="250"/>
      <c r="VKD60" s="250"/>
      <c r="VKE60" s="250"/>
      <c r="VKF60" s="250"/>
      <c r="VKG60" s="250"/>
      <c r="VKH60" s="250"/>
      <c r="VKI60" s="250"/>
      <c r="VKJ60" s="250"/>
      <c r="VKK60" s="250"/>
      <c r="VKL60" s="250"/>
      <c r="VKM60" s="250"/>
      <c r="VKN60" s="250"/>
      <c r="VKO60" s="250"/>
      <c r="VKP60" s="250"/>
      <c r="VKQ60" s="250"/>
      <c r="VKR60" s="250"/>
      <c r="VKS60" s="250"/>
      <c r="VKT60" s="250"/>
      <c r="VKU60" s="250"/>
      <c r="VKV60" s="250"/>
      <c r="VKW60" s="250"/>
      <c r="VKX60" s="250"/>
      <c r="VKY60" s="250"/>
      <c r="VKZ60" s="250"/>
      <c r="VLA60" s="250"/>
      <c r="VLB60" s="250"/>
      <c r="VLC60" s="250"/>
      <c r="VLD60" s="250"/>
      <c r="VLE60" s="250"/>
      <c r="VLF60" s="250"/>
      <c r="VLG60" s="250"/>
      <c r="VLH60" s="250"/>
      <c r="VLI60" s="250"/>
      <c r="VLJ60" s="250"/>
      <c r="VLK60" s="250"/>
      <c r="VLL60" s="250"/>
      <c r="VLM60" s="250"/>
      <c r="VLN60" s="250"/>
      <c r="VLO60" s="250"/>
      <c r="VLP60" s="250"/>
      <c r="VLQ60" s="250"/>
      <c r="VLR60" s="250"/>
      <c r="VLS60" s="250"/>
      <c r="VLT60" s="250"/>
      <c r="VLU60" s="250"/>
      <c r="VLV60" s="250"/>
      <c r="VLW60" s="250"/>
      <c r="VLX60" s="250"/>
      <c r="VLY60" s="250"/>
      <c r="VLZ60" s="250"/>
      <c r="VMA60" s="250"/>
      <c r="VMB60" s="250"/>
      <c r="VMC60" s="250"/>
      <c r="VMD60" s="250"/>
      <c r="VME60" s="250"/>
      <c r="VMF60" s="250"/>
      <c r="VMG60" s="250"/>
      <c r="VMH60" s="250"/>
      <c r="VMI60" s="250"/>
      <c r="VMJ60" s="250"/>
      <c r="VMK60" s="250"/>
      <c r="VML60" s="250"/>
      <c r="VMM60" s="250"/>
      <c r="VMN60" s="250"/>
      <c r="VMO60" s="250"/>
      <c r="VMP60" s="250"/>
      <c r="VMQ60" s="250"/>
      <c r="VMR60" s="250"/>
      <c r="VMS60" s="250"/>
      <c r="VMT60" s="250"/>
      <c r="VMU60" s="250"/>
      <c r="VMV60" s="250"/>
      <c r="VMW60" s="250"/>
      <c r="VMX60" s="250"/>
      <c r="VMY60" s="250"/>
      <c r="VMZ60" s="250"/>
      <c r="VNA60" s="250"/>
      <c r="VNB60" s="250"/>
      <c r="VNC60" s="250"/>
      <c r="VND60" s="250"/>
      <c r="VNE60" s="250"/>
      <c r="VNF60" s="250"/>
      <c r="VNG60" s="250"/>
      <c r="VNH60" s="250"/>
      <c r="VNI60" s="250"/>
      <c r="VNJ60" s="250"/>
      <c r="VNK60" s="250"/>
      <c r="VNL60" s="250"/>
      <c r="VNM60" s="250"/>
      <c r="VNN60" s="250"/>
      <c r="VNO60" s="250"/>
      <c r="VNP60" s="250"/>
      <c r="VNQ60" s="250"/>
      <c r="VNR60" s="250"/>
      <c r="VNS60" s="250"/>
      <c r="VNT60" s="250"/>
      <c r="VNU60" s="250"/>
      <c r="VNV60" s="250"/>
      <c r="VNW60" s="250"/>
      <c r="VNX60" s="250"/>
      <c r="VNY60" s="250"/>
      <c r="VNZ60" s="250"/>
      <c r="VOA60" s="250"/>
      <c r="VOB60" s="250"/>
      <c r="VOC60" s="250"/>
      <c r="VOD60" s="250"/>
      <c r="VOE60" s="250"/>
      <c r="VOF60" s="250"/>
      <c r="VOG60" s="250"/>
      <c r="VOH60" s="250"/>
      <c r="VOI60" s="250"/>
      <c r="VOJ60" s="250"/>
      <c r="VOK60" s="250"/>
      <c r="VOL60" s="250"/>
      <c r="VOM60" s="250"/>
      <c r="VON60" s="250"/>
      <c r="VOO60" s="250"/>
      <c r="VOP60" s="250"/>
      <c r="VOQ60" s="250"/>
      <c r="VOR60" s="250"/>
      <c r="VOS60" s="250"/>
      <c r="VOT60" s="250"/>
      <c r="VOU60" s="250"/>
      <c r="VOV60" s="250"/>
      <c r="VOW60" s="250"/>
      <c r="VOX60" s="250"/>
      <c r="VOY60" s="250"/>
      <c r="VOZ60" s="250"/>
      <c r="VPA60" s="250"/>
      <c r="VPB60" s="250"/>
      <c r="VPC60" s="250"/>
      <c r="VPD60" s="250"/>
      <c r="VPE60" s="250"/>
      <c r="VPF60" s="250"/>
      <c r="VPG60" s="250"/>
      <c r="VPH60" s="250"/>
      <c r="VPI60" s="250"/>
      <c r="VPJ60" s="250"/>
      <c r="VPK60" s="250"/>
      <c r="VPL60" s="250"/>
      <c r="VPM60" s="250"/>
      <c r="VPN60" s="250"/>
      <c r="VPO60" s="250"/>
      <c r="VPP60" s="250"/>
      <c r="VPQ60" s="250"/>
      <c r="VPR60" s="250"/>
      <c r="VPS60" s="250"/>
      <c r="VPT60" s="250"/>
      <c r="VPU60" s="250"/>
      <c r="VPV60" s="250"/>
      <c r="VPW60" s="250"/>
      <c r="VPX60" s="250"/>
      <c r="VPY60" s="250"/>
      <c r="VPZ60" s="250"/>
      <c r="VQA60" s="250"/>
      <c r="VQB60" s="250"/>
      <c r="VQC60" s="250"/>
      <c r="VQD60" s="250"/>
      <c r="VQE60" s="250"/>
      <c r="VQF60" s="250"/>
      <c r="VQG60" s="250"/>
      <c r="VQH60" s="250"/>
      <c r="VQI60" s="250"/>
      <c r="VQJ60" s="250"/>
      <c r="VQK60" s="250"/>
      <c r="VQL60" s="250"/>
      <c r="VQM60" s="250"/>
      <c r="VQN60" s="250"/>
      <c r="VQO60" s="250"/>
      <c r="VQP60" s="250"/>
      <c r="VQQ60" s="250"/>
      <c r="VQR60" s="250"/>
      <c r="VQS60" s="250"/>
      <c r="VQT60" s="250"/>
      <c r="VQU60" s="250"/>
      <c r="VQV60" s="250"/>
      <c r="VQW60" s="250"/>
      <c r="VQX60" s="250"/>
      <c r="VQY60" s="250"/>
      <c r="VQZ60" s="250"/>
      <c r="VRA60" s="250"/>
      <c r="VRB60" s="250"/>
      <c r="VRC60" s="250"/>
      <c r="VRD60" s="250"/>
      <c r="VRE60" s="250"/>
      <c r="VRF60" s="250"/>
      <c r="VRG60" s="250"/>
      <c r="VRH60" s="250"/>
      <c r="VRI60" s="250"/>
      <c r="VRJ60" s="250"/>
      <c r="VRK60" s="250"/>
      <c r="VRL60" s="250"/>
      <c r="VRM60" s="250"/>
      <c r="VRN60" s="250"/>
      <c r="VRO60" s="250"/>
      <c r="VRP60" s="250"/>
      <c r="VRQ60" s="250"/>
      <c r="VRR60" s="250"/>
      <c r="VRS60" s="250"/>
      <c r="VRT60" s="250"/>
      <c r="VRU60" s="250"/>
      <c r="VRV60" s="250"/>
      <c r="VRW60" s="250"/>
      <c r="VRX60" s="250"/>
      <c r="VRY60" s="250"/>
      <c r="VRZ60" s="250"/>
      <c r="VSA60" s="250"/>
      <c r="VSB60" s="250"/>
      <c r="VSC60" s="250"/>
      <c r="VSD60" s="250"/>
      <c r="VSE60" s="250"/>
      <c r="VSF60" s="250"/>
      <c r="VSG60" s="250"/>
      <c r="VSH60" s="250"/>
      <c r="VSI60" s="250"/>
      <c r="VSJ60" s="250"/>
      <c r="VSK60" s="250"/>
      <c r="VSL60" s="250"/>
      <c r="VSM60" s="250"/>
      <c r="VSN60" s="250"/>
      <c r="VSO60" s="250"/>
      <c r="VSP60" s="250"/>
      <c r="VSQ60" s="250"/>
      <c r="VSR60" s="250"/>
      <c r="VSS60" s="250"/>
      <c r="VST60" s="250"/>
      <c r="VSU60" s="250"/>
      <c r="VSV60" s="250"/>
      <c r="VSW60" s="250"/>
      <c r="VSX60" s="250"/>
      <c r="VSY60" s="250"/>
      <c r="VSZ60" s="250"/>
      <c r="VTA60" s="250"/>
      <c r="VTB60" s="250"/>
      <c r="VTC60" s="250"/>
      <c r="VTD60" s="250"/>
      <c r="VTE60" s="250"/>
      <c r="VTF60" s="250"/>
      <c r="VTG60" s="250"/>
      <c r="VTH60" s="250"/>
      <c r="VTI60" s="250"/>
      <c r="VTJ60" s="250"/>
      <c r="VTK60" s="250"/>
      <c r="VTL60" s="250"/>
      <c r="VTM60" s="250"/>
      <c r="VTN60" s="250"/>
      <c r="VTO60" s="250"/>
      <c r="VTP60" s="250"/>
      <c r="VTQ60" s="250"/>
      <c r="VTR60" s="250"/>
      <c r="VTS60" s="250"/>
      <c r="VTT60" s="250"/>
      <c r="VTU60" s="250"/>
      <c r="VTV60" s="250"/>
      <c r="VTW60" s="250"/>
      <c r="VTX60" s="250"/>
      <c r="VTY60" s="250"/>
      <c r="VTZ60" s="250"/>
      <c r="VUA60" s="250"/>
      <c r="VUB60" s="250"/>
      <c r="VUC60" s="250"/>
      <c r="VUD60" s="250"/>
      <c r="VUE60" s="250"/>
      <c r="VUF60" s="250"/>
      <c r="VUG60" s="250"/>
      <c r="VUH60" s="250"/>
      <c r="VUI60" s="250"/>
      <c r="VUJ60" s="250"/>
      <c r="VUK60" s="250"/>
      <c r="VUL60" s="250"/>
      <c r="VUM60" s="250"/>
      <c r="VUN60" s="250"/>
      <c r="VUO60" s="250"/>
      <c r="VUP60" s="250"/>
      <c r="VUQ60" s="250"/>
      <c r="VUR60" s="250"/>
      <c r="VUS60" s="250"/>
      <c r="VUT60" s="250"/>
      <c r="VUU60" s="250"/>
      <c r="VUV60" s="250"/>
      <c r="VUW60" s="250"/>
      <c r="VUX60" s="250"/>
      <c r="VUY60" s="250"/>
      <c r="VUZ60" s="250"/>
      <c r="VVA60" s="250"/>
      <c r="VVB60" s="250"/>
      <c r="VVC60" s="250"/>
      <c r="VVD60" s="250"/>
      <c r="VVE60" s="250"/>
      <c r="VVF60" s="250"/>
      <c r="VVG60" s="250"/>
      <c r="VVH60" s="250"/>
      <c r="VVI60" s="250"/>
      <c r="VVJ60" s="250"/>
      <c r="VVK60" s="250"/>
      <c r="VVL60" s="250"/>
      <c r="VVM60" s="250"/>
      <c r="VVN60" s="250"/>
      <c r="VVO60" s="250"/>
      <c r="VVP60" s="250"/>
      <c r="VVQ60" s="250"/>
      <c r="VVR60" s="250"/>
      <c r="VVS60" s="250"/>
      <c r="VVT60" s="250"/>
      <c r="VVU60" s="250"/>
      <c r="VVV60" s="250"/>
      <c r="VVW60" s="250"/>
      <c r="VVX60" s="250"/>
      <c r="VVY60" s="250"/>
      <c r="VVZ60" s="250"/>
      <c r="VWA60" s="250"/>
      <c r="VWB60" s="250"/>
      <c r="VWC60" s="250"/>
      <c r="VWD60" s="250"/>
      <c r="VWE60" s="250"/>
      <c r="VWF60" s="250"/>
      <c r="VWG60" s="250"/>
      <c r="VWH60" s="250"/>
      <c r="VWI60" s="250"/>
      <c r="VWJ60" s="250"/>
      <c r="VWK60" s="250"/>
      <c r="VWL60" s="250"/>
      <c r="VWM60" s="250"/>
      <c r="VWN60" s="250"/>
      <c r="VWO60" s="250"/>
      <c r="VWP60" s="250"/>
      <c r="VWQ60" s="250"/>
      <c r="VWR60" s="250"/>
      <c r="VWS60" s="250"/>
      <c r="VWT60" s="250"/>
      <c r="VWU60" s="250"/>
      <c r="VWV60" s="250"/>
      <c r="VWW60" s="250"/>
      <c r="VWX60" s="250"/>
      <c r="VWY60" s="250"/>
      <c r="VWZ60" s="250"/>
      <c r="VXA60" s="250"/>
      <c r="VXB60" s="250"/>
      <c r="VXC60" s="250"/>
      <c r="VXD60" s="250"/>
      <c r="VXE60" s="250"/>
      <c r="VXF60" s="250"/>
      <c r="VXG60" s="250"/>
      <c r="VXH60" s="250"/>
      <c r="VXI60" s="250"/>
      <c r="VXJ60" s="250"/>
      <c r="VXK60" s="250"/>
      <c r="VXL60" s="250"/>
      <c r="VXM60" s="250"/>
      <c r="VXN60" s="250"/>
      <c r="VXO60" s="250"/>
      <c r="VXP60" s="250"/>
      <c r="VXQ60" s="250"/>
      <c r="VXR60" s="250"/>
      <c r="VXS60" s="250"/>
      <c r="VXT60" s="250"/>
      <c r="VXU60" s="250"/>
      <c r="VXV60" s="250"/>
      <c r="VXW60" s="250"/>
      <c r="VXX60" s="250"/>
      <c r="VXY60" s="250"/>
      <c r="VXZ60" s="250"/>
      <c r="VYA60" s="250"/>
      <c r="VYB60" s="250"/>
      <c r="VYC60" s="250"/>
      <c r="VYD60" s="250"/>
      <c r="VYE60" s="250"/>
      <c r="VYF60" s="250"/>
      <c r="VYG60" s="250"/>
      <c r="VYH60" s="250"/>
      <c r="VYI60" s="250"/>
      <c r="VYJ60" s="250"/>
      <c r="VYK60" s="250"/>
      <c r="VYL60" s="250"/>
      <c r="VYM60" s="250"/>
      <c r="VYN60" s="250"/>
      <c r="VYO60" s="250"/>
      <c r="VYP60" s="250"/>
      <c r="VYQ60" s="250"/>
      <c r="VYR60" s="250"/>
      <c r="VYS60" s="250"/>
      <c r="VYT60" s="250"/>
      <c r="VYU60" s="250"/>
      <c r="VYV60" s="250"/>
      <c r="VYW60" s="250"/>
      <c r="VYX60" s="250"/>
      <c r="VYY60" s="250"/>
      <c r="VYZ60" s="250"/>
      <c r="VZA60" s="250"/>
      <c r="VZB60" s="250"/>
      <c r="VZC60" s="250"/>
      <c r="VZD60" s="250"/>
      <c r="VZE60" s="250"/>
      <c r="VZF60" s="250"/>
      <c r="VZG60" s="250"/>
      <c r="VZH60" s="250"/>
      <c r="VZI60" s="250"/>
      <c r="VZJ60" s="250"/>
      <c r="VZK60" s="250"/>
      <c r="VZL60" s="250"/>
      <c r="VZM60" s="250"/>
      <c r="VZN60" s="250"/>
      <c r="VZO60" s="250"/>
      <c r="VZP60" s="250"/>
      <c r="VZQ60" s="250"/>
      <c r="VZR60" s="250"/>
      <c r="VZS60" s="250"/>
      <c r="VZT60" s="250"/>
      <c r="VZU60" s="250"/>
      <c r="VZV60" s="250"/>
      <c r="VZW60" s="250"/>
      <c r="VZX60" s="250"/>
      <c r="VZY60" s="250"/>
      <c r="VZZ60" s="250"/>
      <c r="WAA60" s="250"/>
      <c r="WAB60" s="250"/>
      <c r="WAC60" s="250"/>
      <c r="WAD60" s="250"/>
      <c r="WAE60" s="250"/>
      <c r="WAF60" s="250"/>
      <c r="WAG60" s="250"/>
      <c r="WAH60" s="250"/>
      <c r="WAI60" s="250"/>
      <c r="WAJ60" s="250"/>
      <c r="WAK60" s="250"/>
      <c r="WAL60" s="250"/>
      <c r="WAM60" s="250"/>
      <c r="WAN60" s="250"/>
      <c r="WAO60" s="250"/>
      <c r="WAP60" s="250"/>
      <c r="WAQ60" s="250"/>
      <c r="WAR60" s="250"/>
      <c r="WAS60" s="250"/>
      <c r="WAT60" s="250"/>
      <c r="WAU60" s="250"/>
      <c r="WAV60" s="250"/>
      <c r="WAW60" s="250"/>
      <c r="WAX60" s="250"/>
      <c r="WAY60" s="250"/>
      <c r="WAZ60" s="250"/>
      <c r="WBA60" s="250"/>
      <c r="WBB60" s="250"/>
      <c r="WBC60" s="250"/>
      <c r="WBD60" s="250"/>
      <c r="WBE60" s="250"/>
      <c r="WBF60" s="250"/>
      <c r="WBG60" s="250"/>
      <c r="WBH60" s="250"/>
      <c r="WBI60" s="250"/>
      <c r="WBJ60" s="250"/>
      <c r="WBK60" s="250"/>
      <c r="WBL60" s="250"/>
      <c r="WBM60" s="250"/>
      <c r="WBN60" s="250"/>
      <c r="WBO60" s="250"/>
      <c r="WBP60" s="250"/>
      <c r="WBQ60" s="250"/>
      <c r="WBR60" s="250"/>
      <c r="WBS60" s="250"/>
      <c r="WBT60" s="250"/>
      <c r="WBU60" s="250"/>
      <c r="WBV60" s="250"/>
      <c r="WBW60" s="250"/>
      <c r="WBX60" s="250"/>
      <c r="WBY60" s="250"/>
      <c r="WBZ60" s="250"/>
      <c r="WCA60" s="250"/>
      <c r="WCB60" s="250"/>
      <c r="WCC60" s="250"/>
      <c r="WCD60" s="250"/>
      <c r="WCE60" s="250"/>
      <c r="WCF60" s="250"/>
      <c r="WCG60" s="250"/>
      <c r="WCH60" s="250"/>
      <c r="WCI60" s="250"/>
      <c r="WCJ60" s="250"/>
      <c r="WCK60" s="250"/>
      <c r="WCL60" s="250"/>
      <c r="WCM60" s="250"/>
      <c r="WCN60" s="250"/>
      <c r="WCO60" s="250"/>
      <c r="WCP60" s="250"/>
      <c r="WCQ60" s="250"/>
      <c r="WCR60" s="250"/>
      <c r="WCS60" s="250"/>
      <c r="WCT60" s="250"/>
      <c r="WCU60" s="250"/>
      <c r="WCV60" s="250"/>
      <c r="WCW60" s="250"/>
      <c r="WCX60" s="250"/>
      <c r="WCY60" s="250"/>
      <c r="WCZ60" s="250"/>
      <c r="WDA60" s="250"/>
      <c r="WDB60" s="250"/>
      <c r="WDC60" s="250"/>
      <c r="WDD60" s="250"/>
      <c r="WDE60" s="250"/>
      <c r="WDF60" s="250"/>
      <c r="WDG60" s="250"/>
      <c r="WDH60" s="250"/>
      <c r="WDI60" s="250"/>
      <c r="WDJ60" s="250"/>
      <c r="WDK60" s="250"/>
      <c r="WDL60" s="250"/>
      <c r="WDM60" s="250"/>
      <c r="WDN60" s="250"/>
      <c r="WDO60" s="250"/>
      <c r="WDP60" s="250"/>
      <c r="WDQ60" s="250"/>
      <c r="WDR60" s="250"/>
      <c r="WDS60" s="250"/>
      <c r="WDT60" s="250"/>
      <c r="WDU60" s="250"/>
      <c r="WDV60" s="250"/>
      <c r="WDW60" s="250"/>
      <c r="WDX60" s="250"/>
      <c r="WDY60" s="250"/>
      <c r="WDZ60" s="250"/>
      <c r="WEA60" s="250"/>
      <c r="WEB60" s="250"/>
      <c r="WEC60" s="250"/>
      <c r="WED60" s="250"/>
      <c r="WEE60" s="250"/>
      <c r="WEF60" s="250"/>
      <c r="WEG60" s="250"/>
      <c r="WEH60" s="250"/>
      <c r="WEI60" s="250"/>
      <c r="WEJ60" s="250"/>
      <c r="WEK60" s="250"/>
      <c r="WEL60" s="250"/>
      <c r="WEM60" s="250"/>
      <c r="WEN60" s="250"/>
      <c r="WEO60" s="250"/>
      <c r="WEP60" s="250"/>
      <c r="WEQ60" s="250"/>
      <c r="WER60" s="250"/>
      <c r="WES60" s="250"/>
      <c r="WET60" s="250"/>
      <c r="WEU60" s="250"/>
      <c r="WEV60" s="250"/>
      <c r="WEW60" s="250"/>
      <c r="WEX60" s="250"/>
      <c r="WEY60" s="250"/>
      <c r="WEZ60" s="250"/>
      <c r="WFA60" s="250"/>
      <c r="WFB60" s="250"/>
      <c r="WFC60" s="250"/>
      <c r="WFD60" s="250"/>
      <c r="WFE60" s="250"/>
      <c r="WFF60" s="250"/>
      <c r="WFG60" s="250"/>
      <c r="WFH60" s="250"/>
      <c r="WFI60" s="250"/>
      <c r="WFJ60" s="250"/>
      <c r="WFK60" s="250"/>
      <c r="WFL60" s="250"/>
      <c r="WFM60" s="250"/>
      <c r="WFN60" s="250"/>
      <c r="WFO60" s="250"/>
      <c r="WFP60" s="250"/>
      <c r="WFQ60" s="250"/>
      <c r="WFR60" s="250"/>
      <c r="WFS60" s="250"/>
      <c r="WFT60" s="250"/>
      <c r="WFU60" s="250"/>
      <c r="WFV60" s="250"/>
      <c r="WFW60" s="250"/>
      <c r="WFX60" s="250"/>
      <c r="WFY60" s="250"/>
      <c r="WFZ60" s="250"/>
      <c r="WGA60" s="250"/>
      <c r="WGB60" s="250"/>
      <c r="WGC60" s="250"/>
      <c r="WGD60" s="250"/>
      <c r="WGE60" s="250"/>
      <c r="WGF60" s="250"/>
      <c r="WGG60" s="250"/>
      <c r="WGH60" s="250"/>
      <c r="WGI60" s="250"/>
      <c r="WGJ60" s="250"/>
      <c r="WGK60" s="250"/>
      <c r="WGL60" s="250"/>
      <c r="WGM60" s="250"/>
      <c r="WGN60" s="250"/>
      <c r="WGO60" s="250"/>
      <c r="WGP60" s="250"/>
      <c r="WGQ60" s="250"/>
      <c r="WGR60" s="250"/>
      <c r="WGS60" s="250"/>
      <c r="WGT60" s="250"/>
      <c r="WGU60" s="250"/>
      <c r="WGV60" s="250"/>
      <c r="WGW60" s="250"/>
      <c r="WGX60" s="250"/>
      <c r="WGY60" s="250"/>
      <c r="WGZ60" s="250"/>
      <c r="WHA60" s="250"/>
      <c r="WHB60" s="250"/>
      <c r="WHC60" s="250"/>
      <c r="WHD60" s="250"/>
      <c r="WHE60" s="250"/>
      <c r="WHF60" s="250"/>
      <c r="WHG60" s="250"/>
      <c r="WHH60" s="250"/>
      <c r="WHI60" s="250"/>
      <c r="WHJ60" s="250"/>
      <c r="WHK60" s="250"/>
      <c r="WHL60" s="250"/>
      <c r="WHM60" s="250"/>
      <c r="WHN60" s="250"/>
      <c r="WHO60" s="250"/>
      <c r="WHP60" s="250"/>
      <c r="WHQ60" s="250"/>
      <c r="WHR60" s="250"/>
      <c r="WHS60" s="250"/>
      <c r="WHT60" s="250"/>
      <c r="WHU60" s="250"/>
      <c r="WHV60" s="250"/>
      <c r="WHW60" s="250"/>
      <c r="WHX60" s="250"/>
      <c r="WHY60" s="250"/>
      <c r="WHZ60" s="250"/>
      <c r="WIA60" s="250"/>
      <c r="WIB60" s="250"/>
      <c r="WIC60" s="250"/>
      <c r="WID60" s="250"/>
      <c r="WIE60" s="250"/>
      <c r="WIF60" s="250"/>
      <c r="WIG60" s="250"/>
      <c r="WIH60" s="250"/>
      <c r="WII60" s="250"/>
      <c r="WIJ60" s="250"/>
      <c r="WIK60" s="250"/>
      <c r="WIL60" s="250"/>
      <c r="WIM60" s="250"/>
      <c r="WIN60" s="250"/>
      <c r="WIO60" s="250"/>
      <c r="WIP60" s="250"/>
      <c r="WIQ60" s="250"/>
      <c r="WIR60" s="250"/>
      <c r="WIS60" s="250"/>
      <c r="WIT60" s="250"/>
      <c r="WIU60" s="250"/>
      <c r="WIV60" s="250"/>
      <c r="WIW60" s="250"/>
      <c r="WIX60" s="250"/>
      <c r="WIY60" s="250"/>
      <c r="WIZ60" s="250"/>
      <c r="WJA60" s="250"/>
      <c r="WJB60" s="250"/>
      <c r="WJC60" s="250"/>
      <c r="WJD60" s="250"/>
      <c r="WJE60" s="250"/>
      <c r="WJF60" s="250"/>
      <c r="WJG60" s="250"/>
      <c r="WJH60" s="250"/>
      <c r="WJI60" s="250"/>
      <c r="WJJ60" s="250"/>
      <c r="WJK60" s="250"/>
      <c r="WJL60" s="250"/>
      <c r="WJM60" s="250"/>
      <c r="WJN60" s="250"/>
      <c r="WJO60" s="250"/>
      <c r="WJP60" s="250"/>
      <c r="WJQ60" s="250"/>
      <c r="WJR60" s="250"/>
      <c r="WJS60" s="250"/>
      <c r="WJT60" s="250"/>
      <c r="WJU60" s="250"/>
      <c r="WJV60" s="250"/>
      <c r="WJW60" s="250"/>
      <c r="WJX60" s="250"/>
      <c r="WJY60" s="250"/>
      <c r="WJZ60" s="250"/>
      <c r="WKA60" s="250"/>
      <c r="WKB60" s="250"/>
      <c r="WKC60" s="250"/>
      <c r="WKD60" s="250"/>
      <c r="WKE60" s="250"/>
      <c r="WKF60" s="250"/>
      <c r="WKG60" s="250"/>
      <c r="WKH60" s="250"/>
      <c r="WKI60" s="250"/>
      <c r="WKJ60" s="250"/>
      <c r="WKK60" s="250"/>
      <c r="WKL60" s="250"/>
      <c r="WKM60" s="250"/>
      <c r="WKN60" s="250"/>
      <c r="WKO60" s="250"/>
      <c r="WKP60" s="250"/>
      <c r="WKQ60" s="250"/>
      <c r="WKR60" s="250"/>
      <c r="WKS60" s="250"/>
      <c r="WKT60" s="250"/>
      <c r="WKU60" s="250"/>
      <c r="WKV60" s="250"/>
      <c r="WKW60" s="250"/>
      <c r="WKX60" s="250"/>
      <c r="WKY60" s="250"/>
      <c r="WKZ60" s="250"/>
      <c r="WLA60" s="250"/>
      <c r="WLB60" s="250"/>
      <c r="WLC60" s="250"/>
      <c r="WLD60" s="250"/>
      <c r="WLE60" s="250"/>
      <c r="WLF60" s="250"/>
      <c r="WLG60" s="250"/>
      <c r="WLH60" s="250"/>
      <c r="WLI60" s="250"/>
      <c r="WLJ60" s="250"/>
      <c r="WLK60" s="250"/>
      <c r="WLL60" s="250"/>
      <c r="WLM60" s="250"/>
      <c r="WLN60" s="250"/>
      <c r="WLO60" s="250"/>
      <c r="WLP60" s="250"/>
      <c r="WLQ60" s="250"/>
      <c r="WLR60" s="250"/>
      <c r="WLS60" s="250"/>
      <c r="WLT60" s="250"/>
      <c r="WLU60" s="250"/>
      <c r="WLV60" s="250"/>
      <c r="WLW60" s="250"/>
      <c r="WLX60" s="250"/>
      <c r="WLY60" s="250"/>
      <c r="WLZ60" s="250"/>
      <c r="WMA60" s="250"/>
      <c r="WMB60" s="250"/>
      <c r="WMC60" s="250"/>
      <c r="WMD60" s="250"/>
      <c r="WME60" s="250"/>
      <c r="WMF60" s="250"/>
      <c r="WMG60" s="250"/>
      <c r="WMH60" s="250"/>
      <c r="WMI60" s="250"/>
      <c r="WMJ60" s="250"/>
      <c r="WMK60" s="250"/>
      <c r="WML60" s="250"/>
      <c r="WMM60" s="250"/>
      <c r="WMN60" s="250"/>
      <c r="WMO60" s="250"/>
      <c r="WMP60" s="250"/>
      <c r="WMQ60" s="250"/>
      <c r="WMR60" s="250"/>
      <c r="WMS60" s="250"/>
      <c r="WMT60" s="250"/>
      <c r="WMU60" s="250"/>
      <c r="WMV60" s="250"/>
      <c r="WMW60" s="250"/>
      <c r="WMX60" s="250"/>
      <c r="WMY60" s="250"/>
      <c r="WMZ60" s="250"/>
      <c r="WNA60" s="250"/>
      <c r="WNB60" s="250"/>
      <c r="WNC60" s="250"/>
      <c r="WND60" s="250"/>
      <c r="WNE60" s="250"/>
      <c r="WNF60" s="250"/>
      <c r="WNG60" s="250"/>
      <c r="WNH60" s="250"/>
      <c r="WNI60" s="250"/>
      <c r="WNJ60" s="250"/>
      <c r="WNK60" s="250"/>
      <c r="WNL60" s="250"/>
      <c r="WNM60" s="250"/>
      <c r="WNN60" s="250"/>
      <c r="WNO60" s="250"/>
      <c r="WNP60" s="250"/>
      <c r="WNQ60" s="250"/>
      <c r="WNR60" s="250"/>
      <c r="WNS60" s="250"/>
      <c r="WNT60" s="250"/>
      <c r="WNU60" s="250"/>
      <c r="WNV60" s="250"/>
      <c r="WNW60" s="250"/>
      <c r="WNX60" s="250"/>
      <c r="WNY60" s="250"/>
      <c r="WNZ60" s="250"/>
      <c r="WOA60" s="250"/>
      <c r="WOB60" s="250"/>
      <c r="WOC60" s="250"/>
      <c r="WOD60" s="250"/>
      <c r="WOE60" s="250"/>
      <c r="WOF60" s="250"/>
      <c r="WOG60" s="250"/>
      <c r="WOH60" s="250"/>
      <c r="WOI60" s="250"/>
      <c r="WOJ60" s="250"/>
      <c r="WOK60" s="250"/>
      <c r="WOL60" s="250"/>
      <c r="WOM60" s="250"/>
      <c r="WON60" s="250"/>
      <c r="WOO60" s="250"/>
      <c r="WOP60" s="250"/>
      <c r="WOQ60" s="250"/>
      <c r="WOR60" s="250"/>
      <c r="WOS60" s="250"/>
      <c r="WOT60" s="250"/>
      <c r="WOU60" s="250"/>
      <c r="WOV60" s="250"/>
      <c r="WOW60" s="250"/>
      <c r="WOX60" s="250"/>
      <c r="WOY60" s="250"/>
      <c r="WOZ60" s="250"/>
      <c r="WPA60" s="250"/>
      <c r="WPB60" s="250"/>
      <c r="WPC60" s="250"/>
      <c r="WPD60" s="250"/>
      <c r="WPE60" s="250"/>
      <c r="WPF60" s="250"/>
      <c r="WPG60" s="250"/>
      <c r="WPH60" s="250"/>
      <c r="WPI60" s="250"/>
      <c r="WPJ60" s="250"/>
      <c r="WPK60" s="250"/>
      <c r="WPL60" s="250"/>
      <c r="WPM60" s="250"/>
      <c r="WPN60" s="250"/>
      <c r="WPO60" s="250"/>
      <c r="WPP60" s="250"/>
      <c r="WPQ60" s="250"/>
      <c r="WPR60" s="250"/>
      <c r="WPS60" s="250"/>
      <c r="WPT60" s="250"/>
      <c r="WPU60" s="250"/>
      <c r="WPV60" s="250"/>
      <c r="WPW60" s="250"/>
      <c r="WPX60" s="250"/>
      <c r="WPY60" s="250"/>
      <c r="WPZ60" s="250"/>
      <c r="WQA60" s="250"/>
      <c r="WQB60" s="250"/>
      <c r="WQC60" s="250"/>
      <c r="WQD60" s="250"/>
      <c r="WQE60" s="250"/>
      <c r="WQF60" s="250"/>
      <c r="WQG60" s="250"/>
      <c r="WQH60" s="250"/>
      <c r="WQI60" s="250"/>
      <c r="WQJ60" s="250"/>
      <c r="WQK60" s="250"/>
      <c r="WQL60" s="250"/>
      <c r="WQM60" s="250"/>
      <c r="WQN60" s="250"/>
      <c r="WQO60" s="250"/>
      <c r="WQP60" s="250"/>
      <c r="WQQ60" s="250"/>
      <c r="WQR60" s="250"/>
      <c r="WQS60" s="250"/>
      <c r="WQT60" s="250"/>
      <c r="WQU60" s="250"/>
      <c r="WQV60" s="250"/>
      <c r="WQW60" s="250"/>
      <c r="WQX60" s="250"/>
      <c r="WQY60" s="250"/>
      <c r="WQZ60" s="250"/>
      <c r="WRA60" s="250"/>
      <c r="WRB60" s="250"/>
      <c r="WRC60" s="250"/>
      <c r="WRD60" s="250"/>
      <c r="WRE60" s="250"/>
      <c r="WRF60" s="250"/>
      <c r="WRG60" s="250"/>
      <c r="WRH60" s="250"/>
      <c r="WRI60" s="250"/>
      <c r="WRJ60" s="250"/>
      <c r="WRK60" s="250"/>
      <c r="WRL60" s="250"/>
      <c r="WRM60" s="250"/>
      <c r="WRN60" s="250"/>
      <c r="WRO60" s="250"/>
      <c r="WRP60" s="250"/>
      <c r="WRQ60" s="250"/>
      <c r="WRR60" s="250"/>
      <c r="WRS60" s="250"/>
      <c r="WRT60" s="250"/>
      <c r="WRU60" s="250"/>
      <c r="WRV60" s="250"/>
      <c r="WRW60" s="250"/>
      <c r="WRX60" s="250"/>
      <c r="WRY60" s="250"/>
      <c r="WRZ60" s="250"/>
      <c r="WSA60" s="250"/>
      <c r="WSB60" s="250"/>
      <c r="WSC60" s="250"/>
      <c r="WSD60" s="250"/>
      <c r="WSE60" s="250"/>
      <c r="WSF60" s="250"/>
      <c r="WSG60" s="250"/>
      <c r="WSH60" s="250"/>
      <c r="WSI60" s="250"/>
      <c r="WSJ60" s="250"/>
      <c r="WSK60" s="250"/>
      <c r="WSL60" s="250"/>
      <c r="WSM60" s="250"/>
      <c r="WSN60" s="250"/>
      <c r="WSO60" s="250"/>
      <c r="WSP60" s="250"/>
      <c r="WSQ60" s="250"/>
      <c r="WSR60" s="250"/>
      <c r="WSS60" s="250"/>
      <c r="WST60" s="250"/>
      <c r="WSU60" s="250"/>
      <c r="WSV60" s="250"/>
      <c r="WSW60" s="250"/>
      <c r="WSX60" s="250"/>
      <c r="WSY60" s="250"/>
      <c r="WSZ60" s="250"/>
      <c r="WTA60" s="250"/>
      <c r="WTB60" s="250"/>
      <c r="WTC60" s="250"/>
      <c r="WTD60" s="250"/>
      <c r="WTE60" s="250"/>
      <c r="WTF60" s="250"/>
      <c r="WTG60" s="250"/>
      <c r="WTH60" s="250"/>
      <c r="WTI60" s="250"/>
      <c r="WTJ60" s="250"/>
      <c r="WTK60" s="250"/>
      <c r="WTL60" s="250"/>
      <c r="WTM60" s="250"/>
      <c r="WTN60" s="250"/>
      <c r="WTO60" s="250"/>
      <c r="WTP60" s="250"/>
      <c r="WTQ60" s="250"/>
      <c r="WTR60" s="250"/>
      <c r="WTS60" s="250"/>
      <c r="WTT60" s="250"/>
      <c r="WTU60" s="250"/>
      <c r="WTV60" s="250"/>
      <c r="WTW60" s="250"/>
      <c r="WTX60" s="250"/>
      <c r="WTY60" s="250"/>
      <c r="WTZ60" s="250"/>
      <c r="WUA60" s="250"/>
      <c r="WUB60" s="250"/>
      <c r="WUC60" s="250"/>
      <c r="WUD60" s="250"/>
      <c r="WUE60" s="250"/>
      <c r="WUF60" s="250"/>
      <c r="WUG60" s="250"/>
      <c r="WUH60" s="250"/>
      <c r="WUI60" s="250"/>
      <c r="WUJ60" s="250"/>
      <c r="WUK60" s="250"/>
      <c r="WUL60" s="250"/>
      <c r="WUM60" s="250"/>
      <c r="WUN60" s="250"/>
      <c r="WUO60" s="250"/>
      <c r="WUP60" s="250"/>
      <c r="WUQ60" s="250"/>
      <c r="WUR60" s="250"/>
      <c r="WUS60" s="250"/>
      <c r="WUT60" s="250"/>
      <c r="WUU60" s="250"/>
      <c r="WUV60" s="250"/>
      <c r="WUW60" s="250"/>
      <c r="WUX60" s="250"/>
      <c r="WUY60" s="250"/>
      <c r="WUZ60" s="250"/>
      <c r="WVA60" s="250"/>
      <c r="WVB60" s="250"/>
      <c r="WVC60" s="250"/>
      <c r="WVD60" s="250"/>
      <c r="WVE60" s="250"/>
      <c r="WVF60" s="250"/>
      <c r="WVG60" s="250"/>
      <c r="WVH60" s="250"/>
      <c r="WVI60" s="250"/>
      <c r="WVJ60" s="250"/>
      <c r="WVK60" s="250"/>
      <c r="WVL60" s="250"/>
      <c r="WVM60" s="250"/>
      <c r="WVN60" s="250"/>
      <c r="WVO60" s="250"/>
      <c r="WVP60" s="250"/>
      <c r="WVQ60" s="250"/>
      <c r="WVR60" s="250"/>
      <c r="WVS60" s="250"/>
      <c r="WVT60" s="250"/>
      <c r="WVU60" s="250"/>
      <c r="WVV60" s="250"/>
      <c r="WVW60" s="250"/>
      <c r="WVX60" s="250"/>
      <c r="WVY60" s="250"/>
      <c r="WVZ60" s="250"/>
      <c r="WWA60" s="250"/>
      <c r="WWB60" s="250"/>
      <c r="WWC60" s="250"/>
      <c r="WWD60" s="250"/>
      <c r="WWE60" s="250"/>
      <c r="WWF60" s="250"/>
      <c r="WWG60" s="250"/>
      <c r="WWH60" s="250"/>
      <c r="WWI60" s="250"/>
      <c r="WWJ60" s="250"/>
      <c r="WWK60" s="250"/>
      <c r="WWL60" s="250"/>
      <c r="WWM60" s="250"/>
      <c r="WWN60" s="250"/>
      <c r="WWO60" s="250"/>
      <c r="WWP60" s="250"/>
      <c r="WWQ60" s="250"/>
      <c r="WWR60" s="250"/>
      <c r="WWS60" s="250"/>
      <c r="WWT60" s="250"/>
      <c r="WWU60" s="250"/>
      <c r="WWV60" s="250"/>
      <c r="WWW60" s="250"/>
      <c r="WWX60" s="250"/>
      <c r="WWY60" s="250"/>
      <c r="WWZ60" s="250"/>
      <c r="WXA60" s="250"/>
      <c r="WXB60" s="250"/>
      <c r="WXC60" s="250"/>
      <c r="WXD60" s="250"/>
      <c r="WXE60" s="250"/>
      <c r="WXF60" s="250"/>
      <c r="WXG60" s="250"/>
      <c r="WXH60" s="250"/>
      <c r="WXI60" s="250"/>
      <c r="WXJ60" s="250"/>
      <c r="WXK60" s="250"/>
      <c r="WXL60" s="250"/>
      <c r="WXM60" s="250"/>
      <c r="WXN60" s="250"/>
      <c r="WXO60" s="250"/>
      <c r="WXP60" s="250"/>
      <c r="WXQ60" s="250"/>
      <c r="WXR60" s="250"/>
      <c r="WXS60" s="250"/>
      <c r="WXT60" s="250"/>
      <c r="WXU60" s="250"/>
      <c r="WXV60" s="250"/>
      <c r="WXW60" s="250"/>
      <c r="WXX60" s="250"/>
      <c r="WXY60" s="250"/>
      <c r="WXZ60" s="250"/>
      <c r="WYA60" s="250"/>
      <c r="WYB60" s="250"/>
      <c r="WYC60" s="250"/>
      <c r="WYD60" s="250"/>
      <c r="WYE60" s="250"/>
      <c r="WYF60" s="250"/>
      <c r="WYG60" s="250"/>
      <c r="WYH60" s="250"/>
      <c r="WYI60" s="250"/>
      <c r="WYJ60" s="250"/>
      <c r="WYK60" s="250"/>
      <c r="WYL60" s="250"/>
      <c r="WYM60" s="250"/>
      <c r="WYN60" s="250"/>
      <c r="WYO60" s="250"/>
      <c r="WYP60" s="250"/>
      <c r="WYQ60" s="250"/>
      <c r="WYR60" s="250"/>
      <c r="WYS60" s="250"/>
      <c r="WYT60" s="250"/>
      <c r="WYU60" s="250"/>
      <c r="WYV60" s="250"/>
      <c r="WYW60" s="250"/>
      <c r="WYX60" s="250"/>
      <c r="WYY60" s="250"/>
      <c r="WYZ60" s="250"/>
      <c r="WZA60" s="250"/>
      <c r="WZB60" s="250"/>
      <c r="WZC60" s="250"/>
      <c r="WZD60" s="250"/>
      <c r="WZE60" s="250"/>
      <c r="WZF60" s="250"/>
      <c r="WZG60" s="250"/>
      <c r="WZH60" s="250"/>
      <c r="WZI60" s="250"/>
      <c r="WZJ60" s="250"/>
      <c r="WZK60" s="250"/>
      <c r="WZL60" s="250"/>
      <c r="WZM60" s="250"/>
      <c r="WZN60" s="250"/>
      <c r="WZO60" s="250"/>
      <c r="WZP60" s="250"/>
      <c r="WZQ60" s="250"/>
      <c r="WZR60" s="250"/>
      <c r="WZS60" s="250"/>
      <c r="WZT60" s="250"/>
      <c r="WZU60" s="250"/>
      <c r="WZV60" s="250"/>
      <c r="WZW60" s="250"/>
      <c r="WZX60" s="250"/>
      <c r="WZY60" s="250"/>
      <c r="WZZ60" s="250"/>
      <c r="XAA60" s="250"/>
      <c r="XAB60" s="250"/>
      <c r="XAC60" s="250"/>
      <c r="XAD60" s="250"/>
      <c r="XAE60" s="250"/>
      <c r="XAF60" s="250"/>
      <c r="XAG60" s="250"/>
      <c r="XAH60" s="250"/>
      <c r="XAI60" s="250"/>
      <c r="XAJ60" s="250"/>
      <c r="XAK60" s="250"/>
      <c r="XAL60" s="250"/>
      <c r="XAM60" s="250"/>
      <c r="XAN60" s="250"/>
      <c r="XAO60" s="250"/>
      <c r="XAP60" s="250"/>
      <c r="XAQ60" s="250"/>
      <c r="XAR60" s="250"/>
      <c r="XAS60" s="250"/>
      <c r="XAT60" s="250"/>
      <c r="XAU60" s="250"/>
      <c r="XAV60" s="250"/>
      <c r="XAW60" s="250"/>
      <c r="XAX60" s="250"/>
      <c r="XAY60" s="250"/>
      <c r="XAZ60" s="250"/>
      <c r="XBA60" s="250"/>
      <c r="XBB60" s="250"/>
      <c r="XBC60" s="250"/>
      <c r="XBD60" s="250"/>
      <c r="XBE60" s="250"/>
      <c r="XBF60" s="250"/>
      <c r="XBG60" s="250"/>
      <c r="XBH60" s="250"/>
      <c r="XBI60" s="250"/>
      <c r="XBJ60" s="250"/>
      <c r="XBK60" s="250"/>
      <c r="XBL60" s="250"/>
      <c r="XBM60" s="250"/>
      <c r="XBN60" s="250"/>
      <c r="XBO60" s="250"/>
      <c r="XBP60" s="250"/>
      <c r="XBQ60" s="250"/>
      <c r="XBR60" s="250"/>
      <c r="XBS60" s="250"/>
      <c r="XBT60" s="250"/>
      <c r="XBU60" s="250"/>
      <c r="XBV60" s="250"/>
      <c r="XBW60" s="250"/>
      <c r="XBX60" s="250"/>
      <c r="XBY60" s="250"/>
      <c r="XBZ60" s="250"/>
      <c r="XCA60" s="250"/>
      <c r="XCB60" s="250"/>
      <c r="XCC60" s="250"/>
      <c r="XCD60" s="250"/>
      <c r="XCE60" s="250"/>
      <c r="XCF60" s="250"/>
      <c r="XCG60" s="250"/>
      <c r="XCH60" s="250"/>
      <c r="XCI60" s="250"/>
      <c r="XCJ60" s="250"/>
      <c r="XCK60" s="250"/>
      <c r="XCL60" s="250"/>
      <c r="XCM60" s="250"/>
      <c r="XCN60" s="250"/>
      <c r="XCO60" s="250"/>
      <c r="XCP60" s="250"/>
      <c r="XCQ60" s="250"/>
      <c r="XCR60" s="250"/>
      <c r="XCS60" s="250"/>
      <c r="XCT60" s="250"/>
      <c r="XCU60" s="250"/>
      <c r="XCV60" s="250"/>
      <c r="XCW60" s="250"/>
      <c r="XCX60" s="250"/>
      <c r="XCY60" s="250"/>
      <c r="XCZ60" s="250"/>
      <c r="XDA60" s="250"/>
      <c r="XDB60" s="250"/>
      <c r="XDC60" s="250"/>
      <c r="XDD60" s="250"/>
      <c r="XDE60" s="250"/>
      <c r="XDF60" s="250"/>
      <c r="XDG60" s="250"/>
      <c r="XDH60" s="250"/>
      <c r="XDI60" s="250"/>
      <c r="XDJ60" s="250"/>
      <c r="XDK60" s="250"/>
      <c r="XDL60" s="250"/>
      <c r="XDM60" s="250"/>
      <c r="XDN60" s="250"/>
      <c r="XDO60" s="250"/>
      <c r="XDP60" s="250"/>
      <c r="XDQ60" s="250"/>
      <c r="XDR60" s="250"/>
      <c r="XDS60" s="250"/>
      <c r="XDT60" s="250"/>
      <c r="XDU60" s="250"/>
      <c r="XDV60" s="250"/>
      <c r="XDW60" s="250"/>
      <c r="XDX60" s="250"/>
      <c r="XDY60" s="250"/>
      <c r="XDZ60" s="250"/>
      <c r="XEA60" s="250"/>
      <c r="XEB60" s="250"/>
      <c r="XEC60" s="250"/>
      <c r="XED60" s="250"/>
      <c r="XEE60" s="250"/>
      <c r="XEF60" s="250"/>
      <c r="XEG60" s="250"/>
      <c r="XEH60" s="250"/>
      <c r="XEI60" s="250"/>
      <c r="XEJ60" s="250"/>
      <c r="XEK60" s="250"/>
      <c r="XEL60" s="250"/>
      <c r="XEM60" s="250"/>
      <c r="XEN60" s="250"/>
      <c r="XEO60" s="250"/>
      <c r="XEP60" s="250"/>
      <c r="XEQ60" s="250"/>
      <c r="XER60" s="250"/>
      <c r="XES60" s="250"/>
      <c r="XET60" s="250"/>
      <c r="XEU60" s="250"/>
      <c r="XEV60" s="250"/>
      <c r="XEW60" s="250"/>
      <c r="XEX60" s="250"/>
    </row>
  </sheetData>
  <mergeCells count="17">
    <mergeCell ref="B3:D4"/>
    <mergeCell ref="O3:O4"/>
    <mergeCell ref="Q3:Q4"/>
    <mergeCell ref="R3:R4"/>
    <mergeCell ref="K3:K4"/>
    <mergeCell ref="L3:L4"/>
    <mergeCell ref="M3:M4"/>
    <mergeCell ref="N3:N4"/>
    <mergeCell ref="H3:H4"/>
    <mergeCell ref="P3:P4"/>
    <mergeCell ref="F3:F4"/>
    <mergeCell ref="J3:J4"/>
    <mergeCell ref="I3:I4"/>
    <mergeCell ref="E3:E4"/>
    <mergeCell ref="G3:G4"/>
    <mergeCell ref="S3:S4"/>
    <mergeCell ref="T3:T4"/>
  </mergeCells>
  <conditionalFormatting sqref="H3:I3">
    <cfRule type="cellIs" dxfId="131" priority="42" operator="lessThan">
      <formula>0</formula>
    </cfRule>
  </conditionalFormatting>
  <conditionalFormatting sqref="F3">
    <cfRule type="cellIs" dxfId="130" priority="44" operator="lessThan">
      <formula>0</formula>
    </cfRule>
  </conditionalFormatting>
  <conditionalFormatting sqref="P3:R3">
    <cfRule type="cellIs" dxfId="129" priority="43" operator="lessThan">
      <formula>0</formula>
    </cfRule>
  </conditionalFormatting>
  <conditionalFormatting sqref="R3">
    <cfRule type="cellIs" dxfId="128" priority="47" operator="lessThan">
      <formula>0</formula>
    </cfRule>
  </conditionalFormatting>
  <conditionalFormatting sqref="Q3">
    <cfRule type="cellIs" dxfId="127" priority="46" operator="lessThan">
      <formula>0</formula>
    </cfRule>
  </conditionalFormatting>
  <conditionalFormatting sqref="O3">
    <cfRule type="cellIs" dxfId="126" priority="45" operator="lessThan">
      <formula>0</formula>
    </cfRule>
  </conditionalFormatting>
  <conditionalFormatting sqref="M3">
    <cfRule type="cellIs" dxfId="125" priority="34" operator="lessThan">
      <formula>0</formula>
    </cfRule>
  </conditionalFormatting>
  <conditionalFormatting sqref="K3">
    <cfRule type="cellIs" dxfId="124" priority="36" operator="lessThan">
      <formula>0</formula>
    </cfRule>
  </conditionalFormatting>
  <conditionalFormatting sqref="N3">
    <cfRule type="cellIs" dxfId="123" priority="35" operator="lessThan">
      <formula>0</formula>
    </cfRule>
  </conditionalFormatting>
  <conditionalFormatting sqref="L3">
    <cfRule type="cellIs" dxfId="122" priority="37" operator="lessThan">
      <formula>0</formula>
    </cfRule>
  </conditionalFormatting>
  <conditionalFormatting sqref="S3:T3">
    <cfRule type="cellIs" dxfId="121" priority="17" operator="lessThan">
      <formula>0</formula>
    </cfRule>
  </conditionalFormatting>
  <conditionalFormatting sqref="T3">
    <cfRule type="cellIs" dxfId="120" priority="19" operator="lessThan">
      <formula>0</formula>
    </cfRule>
  </conditionalFormatting>
  <conditionalFormatting sqref="S3">
    <cfRule type="cellIs" dxfId="119" priority="18" operator="lessThan">
      <formula>0</formula>
    </cfRule>
  </conditionalFormatting>
  <conditionalFormatting sqref="J3">
    <cfRule type="cellIs" dxfId="118" priority="12" operator="lessThan">
      <formula>0</formula>
    </cfRule>
  </conditionalFormatting>
  <conditionalFormatting sqref="I3">
    <cfRule type="cellIs" dxfId="117" priority="9" operator="lessThan">
      <formula>0</formula>
    </cfRule>
  </conditionalFormatting>
  <conditionalFormatting sqref="I3">
    <cfRule type="cellIs" dxfId="116" priority="10" operator="lessThan">
      <formula>0</formula>
    </cfRule>
  </conditionalFormatting>
  <conditionalFormatting sqref="E3:F3">
    <cfRule type="cellIs" dxfId="115" priority="5" operator="lessThan">
      <formula>0</formula>
    </cfRule>
  </conditionalFormatting>
  <conditionalFormatting sqref="E3:F3">
    <cfRule type="cellIs" dxfId="114" priority="6" operator="lessThan">
      <formula>0</formula>
    </cfRule>
  </conditionalFormatting>
  <conditionalFormatting sqref="G3:I3">
    <cfRule type="cellIs" dxfId="113" priority="1" operator="lessThan">
      <formula>0</formula>
    </cfRule>
  </conditionalFormatting>
  <conditionalFormatting sqref="G3:I3">
    <cfRule type="cellIs" dxfId="112" priority="2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23D8-26F0-482C-9955-0CBF73F4B53A}">
  <sheetPr codeName="Plan3">
    <tabColor theme="4" tint="-0.249977111117893"/>
  </sheetPr>
  <dimension ref="A1:U44"/>
  <sheetViews>
    <sheetView showGridLines="0" zoomScale="90" zoomScaleNormal="90" workbookViewId="0">
      <pane ySplit="4" topLeftCell="A5" activePane="bottomLeft" state="frozen"/>
      <selection pane="bottomLeft" activeCell="B3" sqref="B3:D4"/>
    </sheetView>
  </sheetViews>
  <sheetFormatPr defaultRowHeight="15" customHeight="1" outlineLevelRow="1" outlineLevelCol="1"/>
  <cols>
    <col min="1" max="1" width="1.7109375" style="264" customWidth="1"/>
    <col min="2" max="2" width="5.5703125" style="265" customWidth="1"/>
    <col min="3" max="3" width="47.7109375" style="265" customWidth="1"/>
    <col min="4" max="4" width="10.7109375" style="266" hidden="1" customWidth="1" outlineLevel="1"/>
    <col min="5" max="5" width="11.5703125" style="264" customWidth="1" collapsed="1"/>
    <col min="6" max="8" width="11.5703125" style="264" customWidth="1"/>
    <col min="9" max="9" width="13.42578125" style="264" hidden="1" customWidth="1" outlineLevel="1"/>
    <col min="10" max="16" width="15.7109375" style="264" hidden="1" customWidth="1" outlineLevel="1"/>
    <col min="17" max="17" width="13.42578125" style="264" hidden="1" customWidth="1" outlineLevel="1"/>
    <col min="18" max="20" width="15.7109375" style="264" hidden="1" customWidth="1" outlineLevel="1"/>
    <col min="21" max="21" width="1.7109375" style="264" customWidth="1" collapsed="1"/>
    <col min="22" max="16384" width="9.140625" style="264"/>
  </cols>
  <sheetData>
    <row r="1" spans="1:20" ht="7.5" customHeight="1"/>
    <row r="2" spans="1:20" ht="15" customHeight="1">
      <c r="B2" s="287"/>
      <c r="C2" s="287"/>
      <c r="D2" s="288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</row>
    <row r="3" spans="1:20" s="268" customFormat="1" ht="20.100000000000001" customHeight="1">
      <c r="B3" s="493" t="s">
        <v>1228</v>
      </c>
      <c r="C3" s="494"/>
      <c r="D3" s="495"/>
      <c r="E3" s="473" t="s">
        <v>1350</v>
      </c>
      <c r="F3" s="473" t="s">
        <v>1286</v>
      </c>
      <c r="G3" s="473" t="s">
        <v>1355</v>
      </c>
      <c r="H3" s="473" t="s">
        <v>1288</v>
      </c>
      <c r="I3" s="473" t="s">
        <v>1341</v>
      </c>
      <c r="J3" s="473">
        <v>2019</v>
      </c>
      <c r="K3" s="473" t="s">
        <v>1306</v>
      </c>
      <c r="L3" s="473" t="s">
        <v>1307</v>
      </c>
      <c r="M3" s="473" t="s">
        <v>1308</v>
      </c>
      <c r="N3" s="473" t="s">
        <v>1309</v>
      </c>
      <c r="O3" s="473" t="s">
        <v>1287</v>
      </c>
      <c r="P3" s="473" t="s">
        <v>1289</v>
      </c>
      <c r="Q3" s="473" t="s">
        <v>1283</v>
      </c>
      <c r="R3" s="473" t="s">
        <v>1284</v>
      </c>
      <c r="S3" s="473">
        <v>2018</v>
      </c>
      <c r="T3" s="473">
        <v>2017</v>
      </c>
    </row>
    <row r="4" spans="1:20" s="268" customFormat="1" ht="20.100000000000001" customHeight="1">
      <c r="B4" s="496"/>
      <c r="C4" s="497"/>
      <c r="D4" s="498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</row>
    <row r="5" spans="1:20" ht="20.100000000000001" customHeight="1">
      <c r="B5" s="290" t="s">
        <v>1248</v>
      </c>
      <c r="C5" s="291" t="s">
        <v>1272</v>
      </c>
      <c r="D5" s="292"/>
      <c r="E5" s="293">
        <f>SUM(E6:E7)</f>
        <v>105650000</v>
      </c>
      <c r="F5" s="293">
        <f>SUM(F6:F7)</f>
        <v>249000</v>
      </c>
      <c r="G5" s="293">
        <f>SUM(G6:G7)</f>
        <v>105766000</v>
      </c>
      <c r="H5" s="293">
        <f>SUM(H6:H7)</f>
        <v>529000</v>
      </c>
      <c r="I5" s="293">
        <f>SUM(I6:I7)</f>
        <v>116000</v>
      </c>
      <c r="J5" s="293">
        <f t="shared" ref="J5" si="0">SUM(J6:J7)</f>
        <v>209136000</v>
      </c>
      <c r="K5" s="293">
        <f t="shared" ref="K5:T5" si="1">SUM(K6:K7)</f>
        <v>208453000</v>
      </c>
      <c r="L5" s="293">
        <f t="shared" si="1"/>
        <v>25000</v>
      </c>
      <c r="M5" s="293">
        <f t="shared" si="1"/>
        <v>208983000</v>
      </c>
      <c r="N5" s="293">
        <f t="shared" si="1"/>
        <v>164000</v>
      </c>
      <c r="O5" s="293">
        <f t="shared" si="1"/>
        <v>30000</v>
      </c>
      <c r="P5" s="293">
        <f t="shared" si="1"/>
        <v>139000</v>
      </c>
      <c r="Q5" s="293">
        <f t="shared" si="1"/>
        <v>280000</v>
      </c>
      <c r="R5" s="293">
        <f t="shared" si="1"/>
        <v>109000</v>
      </c>
      <c r="S5" s="293">
        <f t="shared" si="1"/>
        <v>1203000</v>
      </c>
      <c r="T5" s="293">
        <f t="shared" si="1"/>
        <v>124000</v>
      </c>
    </row>
    <row r="6" spans="1:20" s="269" customFormat="1" ht="20.100000000000001" customHeight="1">
      <c r="A6" s="264"/>
      <c r="B6" s="279"/>
      <c r="C6" s="280" t="s">
        <v>1276</v>
      </c>
      <c r="D6" s="281"/>
      <c r="E6" s="282">
        <v>104427000</v>
      </c>
      <c r="F6" s="282">
        <v>0</v>
      </c>
      <c r="G6" s="282">
        <v>104427000</v>
      </c>
      <c r="H6" s="282">
        <v>0</v>
      </c>
      <c r="I6" s="282">
        <v>0</v>
      </c>
      <c r="J6" s="282">
        <v>208254000</v>
      </c>
      <c r="K6" s="282">
        <v>208254000</v>
      </c>
      <c r="L6" s="282">
        <v>0</v>
      </c>
      <c r="M6" s="282">
        <v>208254000</v>
      </c>
      <c r="N6" s="282">
        <v>0</v>
      </c>
      <c r="O6" s="282">
        <v>0</v>
      </c>
      <c r="P6" s="282">
        <v>0</v>
      </c>
      <c r="Q6" s="282">
        <v>0</v>
      </c>
      <c r="R6" s="282">
        <v>0</v>
      </c>
      <c r="S6" s="282">
        <v>0</v>
      </c>
      <c r="T6" s="282">
        <v>76000</v>
      </c>
    </row>
    <row r="7" spans="1:20" s="269" customFormat="1" ht="20.100000000000001" customHeight="1">
      <c r="A7" s="264"/>
      <c r="B7" s="279"/>
      <c r="C7" s="280" t="s">
        <v>364</v>
      </c>
      <c r="D7" s="281"/>
      <c r="E7" s="282">
        <v>1223000</v>
      </c>
      <c r="F7" s="282">
        <v>249000</v>
      </c>
      <c r="G7" s="282">
        <v>1339000</v>
      </c>
      <c r="H7" s="282">
        <v>529000</v>
      </c>
      <c r="I7" s="282">
        <v>116000</v>
      </c>
      <c r="J7" s="282">
        <v>882000</v>
      </c>
      <c r="K7" s="282">
        <v>199000</v>
      </c>
      <c r="L7" s="282">
        <v>25000</v>
      </c>
      <c r="M7" s="282">
        <v>729000</v>
      </c>
      <c r="N7" s="282">
        <v>164000</v>
      </c>
      <c r="O7" s="282">
        <v>30000</v>
      </c>
      <c r="P7" s="282">
        <v>139000</v>
      </c>
      <c r="Q7" s="282">
        <v>280000</v>
      </c>
      <c r="R7" s="282">
        <v>109000</v>
      </c>
      <c r="S7" s="282">
        <v>1203000</v>
      </c>
      <c r="T7" s="282">
        <v>48000</v>
      </c>
    </row>
    <row r="8" spans="1:20" ht="20.100000000000001" customHeight="1">
      <c r="B8" s="275" t="s">
        <v>1249</v>
      </c>
      <c r="C8" s="276" t="s">
        <v>1250</v>
      </c>
      <c r="D8" s="277"/>
      <c r="E8" s="278">
        <f t="shared" ref="E8:T8" si="2">SUM(E9:E15)</f>
        <v>-3107000</v>
      </c>
      <c r="F8" s="278">
        <f t="shared" si="2"/>
        <v>-4798000</v>
      </c>
      <c r="G8" s="278">
        <f t="shared" si="2"/>
        <v>822000</v>
      </c>
      <c r="H8" s="278">
        <f t="shared" si="2"/>
        <v>-9341000</v>
      </c>
      <c r="I8" s="278">
        <f t="shared" si="2"/>
        <v>3929000</v>
      </c>
      <c r="J8" s="278">
        <f t="shared" si="2"/>
        <v>-73786000</v>
      </c>
      <c r="K8" s="278">
        <f t="shared" si="2"/>
        <v>-22732000</v>
      </c>
      <c r="L8" s="278">
        <f t="shared" si="2"/>
        <v>-4682000</v>
      </c>
      <c r="M8" s="278">
        <f t="shared" si="2"/>
        <v>-32075000</v>
      </c>
      <c r="N8" s="278">
        <f t="shared" si="2"/>
        <v>-7833000</v>
      </c>
      <c r="O8" s="278">
        <f t="shared" si="2"/>
        <v>-2466000</v>
      </c>
      <c r="P8" s="278">
        <f t="shared" si="2"/>
        <v>-3150000</v>
      </c>
      <c r="Q8" s="278">
        <f t="shared" si="2"/>
        <v>-4545000</v>
      </c>
      <c r="R8" s="278">
        <f t="shared" si="2"/>
        <v>-683000</v>
      </c>
      <c r="S8" s="278">
        <f t="shared" si="2"/>
        <v>-118909000</v>
      </c>
      <c r="T8" s="278">
        <f t="shared" si="2"/>
        <v>-43247000</v>
      </c>
    </row>
    <row r="9" spans="1:20" s="269" customFormat="1" ht="20.100000000000001" customHeight="1">
      <c r="A9" s="264"/>
      <c r="B9" s="279"/>
      <c r="C9" s="280" t="s">
        <v>1252</v>
      </c>
      <c r="D9" s="281"/>
      <c r="E9" s="282">
        <v>535000</v>
      </c>
      <c r="F9" s="282">
        <v>-1111000</v>
      </c>
      <c r="G9" s="282">
        <v>3960000</v>
      </c>
      <c r="H9" s="282">
        <v>-2187000</v>
      </c>
      <c r="I9" s="282">
        <v>3425000</v>
      </c>
      <c r="J9" s="282">
        <v>-40143000</v>
      </c>
      <c r="K9" s="282">
        <v>-1141000</v>
      </c>
      <c r="L9" s="282">
        <v>0</v>
      </c>
      <c r="M9" s="282">
        <v>-3329000</v>
      </c>
      <c r="N9" s="282">
        <v>0</v>
      </c>
      <c r="O9" s="282">
        <v>0</v>
      </c>
      <c r="P9" s="282">
        <v>0</v>
      </c>
      <c r="Q9" s="282">
        <v>-1076000</v>
      </c>
      <c r="R9" s="282">
        <v>0</v>
      </c>
      <c r="S9" s="282">
        <v>-95514000</v>
      </c>
      <c r="T9" s="282">
        <v>-37907000</v>
      </c>
    </row>
    <row r="10" spans="1:20" s="269" customFormat="1" ht="20.100000000000001" customHeight="1">
      <c r="A10" s="264"/>
      <c r="B10" s="279"/>
      <c r="C10" s="280" t="s">
        <v>1253</v>
      </c>
      <c r="D10" s="281"/>
      <c r="E10" s="282">
        <v>-1631000</v>
      </c>
      <c r="F10" s="282">
        <v>-1068000</v>
      </c>
      <c r="G10" s="282">
        <v>-2747000</v>
      </c>
      <c r="H10" s="282">
        <v>-2512000</v>
      </c>
      <c r="I10" s="282">
        <v>-1116000</v>
      </c>
      <c r="J10" s="282">
        <v>-7718000</v>
      </c>
      <c r="K10" s="282">
        <v>-2930000</v>
      </c>
      <c r="L10" s="282">
        <v>-770000</v>
      </c>
      <c r="M10" s="282">
        <v>-5443000</v>
      </c>
      <c r="N10" s="282">
        <v>-2118000</v>
      </c>
      <c r="O10" s="282">
        <v>-722000</v>
      </c>
      <c r="P10" s="282">
        <v>-1348000</v>
      </c>
      <c r="Q10" s="282">
        <v>-1444000</v>
      </c>
      <c r="R10" s="282">
        <v>-627000</v>
      </c>
      <c r="S10" s="282">
        <v>-3719000</v>
      </c>
      <c r="T10" s="282">
        <v>-2604000</v>
      </c>
    </row>
    <row r="11" spans="1:20" s="269" customFormat="1" ht="20.100000000000001" customHeight="1">
      <c r="A11" s="264"/>
      <c r="B11" s="279"/>
      <c r="C11" s="280" t="s">
        <v>1293</v>
      </c>
      <c r="D11" s="281"/>
      <c r="E11" s="282">
        <v>0</v>
      </c>
      <c r="F11" s="282">
        <v>2000</v>
      </c>
      <c r="G11" s="282">
        <v>0</v>
      </c>
      <c r="H11" s="282">
        <v>2000</v>
      </c>
      <c r="I11" s="282">
        <v>0</v>
      </c>
      <c r="J11" s="282">
        <v>4000</v>
      </c>
      <c r="K11" s="282">
        <v>1000</v>
      </c>
      <c r="L11" s="282">
        <v>0</v>
      </c>
      <c r="M11" s="282">
        <v>3000</v>
      </c>
      <c r="N11" s="282">
        <v>0</v>
      </c>
      <c r="O11" s="282">
        <v>0</v>
      </c>
      <c r="P11" s="282">
        <v>0</v>
      </c>
      <c r="Q11" s="282">
        <v>0</v>
      </c>
      <c r="R11" s="282">
        <v>0</v>
      </c>
      <c r="S11" s="282">
        <v>0</v>
      </c>
      <c r="T11" s="282">
        <v>0</v>
      </c>
    </row>
    <row r="12" spans="1:20" s="269" customFormat="1" ht="20.100000000000001" customHeight="1">
      <c r="A12" s="264"/>
      <c r="B12" s="279"/>
      <c r="C12" s="280" t="s">
        <v>1254</v>
      </c>
      <c r="D12" s="281"/>
      <c r="E12" s="282">
        <v>-183000</v>
      </c>
      <c r="F12" s="282">
        <v>-2256000</v>
      </c>
      <c r="G12" s="282">
        <v>-2239000</v>
      </c>
      <c r="H12" s="282">
        <v>-3079000</v>
      </c>
      <c r="I12" s="282">
        <v>-2056000</v>
      </c>
      <c r="J12" s="282">
        <v>-4412000</v>
      </c>
      <c r="K12" s="282">
        <v>-766000</v>
      </c>
      <c r="L12" s="282">
        <v>-2607000</v>
      </c>
      <c r="M12" s="282">
        <v>-3845000</v>
      </c>
      <c r="N12" s="282">
        <v>-4267000</v>
      </c>
      <c r="O12" s="282">
        <v>-1661000</v>
      </c>
      <c r="P12" s="282">
        <v>-1661000</v>
      </c>
      <c r="Q12" s="282">
        <v>-823000</v>
      </c>
      <c r="R12" s="282">
        <v>0</v>
      </c>
      <c r="S12" s="282">
        <v>-6270000</v>
      </c>
      <c r="T12" s="282">
        <v>-2511000</v>
      </c>
    </row>
    <row r="13" spans="1:20" s="269" customFormat="1" ht="20.100000000000001" customHeight="1">
      <c r="A13" s="264"/>
      <c r="B13" s="279"/>
      <c r="C13" s="280" t="s">
        <v>261</v>
      </c>
      <c r="D13" s="281"/>
      <c r="E13" s="282">
        <v>-1000</v>
      </c>
      <c r="F13" s="282">
        <v>0</v>
      </c>
      <c r="G13" s="282">
        <v>-854000</v>
      </c>
      <c r="H13" s="282">
        <v>-19000</v>
      </c>
      <c r="I13" s="282">
        <v>-853000</v>
      </c>
      <c r="J13" s="282">
        <v>-16416000</v>
      </c>
      <c r="K13" s="282">
        <v>-16397000</v>
      </c>
      <c r="L13" s="282">
        <v>-133000</v>
      </c>
      <c r="M13" s="282">
        <v>-16416000</v>
      </c>
      <c r="N13" s="282">
        <v>-133000</v>
      </c>
      <c r="O13" s="282">
        <v>0</v>
      </c>
      <c r="P13" s="282">
        <v>0</v>
      </c>
      <c r="Q13" s="282">
        <v>-19000</v>
      </c>
      <c r="R13" s="282">
        <v>0</v>
      </c>
      <c r="S13" s="282">
        <v>-901000</v>
      </c>
      <c r="T13" s="282">
        <v>-16000</v>
      </c>
    </row>
    <row r="14" spans="1:20" s="269" customFormat="1" ht="20.100000000000001" customHeight="1">
      <c r="A14" s="264"/>
      <c r="B14" s="279"/>
      <c r="C14" s="280" t="s">
        <v>1136</v>
      </c>
      <c r="D14" s="281"/>
      <c r="E14" s="282">
        <v>-1597000</v>
      </c>
      <c r="F14" s="282">
        <v>-324000</v>
      </c>
      <c r="G14" s="282">
        <v>2945000</v>
      </c>
      <c r="H14" s="282">
        <v>-1455000</v>
      </c>
      <c r="I14" s="282">
        <v>4543000</v>
      </c>
      <c r="J14" s="282">
        <v>-3785000</v>
      </c>
      <c r="K14" s="282">
        <v>-1229000</v>
      </c>
      <c r="L14" s="282">
        <v>0</v>
      </c>
      <c r="M14" s="282">
        <v>-2684000</v>
      </c>
      <c r="N14" s="282">
        <v>-1000</v>
      </c>
      <c r="O14" s="282">
        <v>0</v>
      </c>
      <c r="P14" s="282">
        <v>0</v>
      </c>
      <c r="Q14" s="282">
        <v>-1131000</v>
      </c>
      <c r="R14" s="282">
        <v>0</v>
      </c>
      <c r="S14" s="282">
        <v>-11127000</v>
      </c>
      <c r="T14" s="282">
        <v>2000</v>
      </c>
    </row>
    <row r="15" spans="1:20" s="269" customFormat="1" ht="20.100000000000001" customHeight="1">
      <c r="A15" s="264"/>
      <c r="B15" s="279"/>
      <c r="C15" s="280" t="s">
        <v>258</v>
      </c>
      <c r="D15" s="281"/>
      <c r="E15" s="282">
        <v>-230000</v>
      </c>
      <c r="F15" s="282">
        <v>-41000</v>
      </c>
      <c r="G15" s="282">
        <v>-243000</v>
      </c>
      <c r="H15" s="282">
        <v>-91000</v>
      </c>
      <c r="I15" s="282">
        <v>-14000</v>
      </c>
      <c r="J15" s="282">
        <v>-1316000</v>
      </c>
      <c r="K15" s="282">
        <v>-270000</v>
      </c>
      <c r="L15" s="282">
        <v>-1172000</v>
      </c>
      <c r="M15" s="282">
        <v>-361000</v>
      </c>
      <c r="N15" s="282">
        <v>-1314000</v>
      </c>
      <c r="O15" s="282">
        <v>-83000</v>
      </c>
      <c r="P15" s="282">
        <v>-141000</v>
      </c>
      <c r="Q15" s="282">
        <v>-52000</v>
      </c>
      <c r="R15" s="282">
        <v>-56000</v>
      </c>
      <c r="S15" s="282">
        <v>-1378000</v>
      </c>
      <c r="T15" s="282">
        <v>-211000</v>
      </c>
    </row>
    <row r="16" spans="1:20" ht="20.100000000000001" customHeight="1">
      <c r="B16" s="275" t="s">
        <v>1255</v>
      </c>
      <c r="C16" s="276" t="s">
        <v>1256</v>
      </c>
      <c r="D16" s="277"/>
      <c r="E16" s="278">
        <f t="shared" ref="E16:T16" si="3">E5+E8</f>
        <v>102543000</v>
      </c>
      <c r="F16" s="278">
        <f t="shared" si="3"/>
        <v>-4549000</v>
      </c>
      <c r="G16" s="278">
        <f t="shared" si="3"/>
        <v>106588000</v>
      </c>
      <c r="H16" s="278">
        <f t="shared" si="3"/>
        <v>-8812000</v>
      </c>
      <c r="I16" s="278">
        <f t="shared" si="3"/>
        <v>4045000</v>
      </c>
      <c r="J16" s="278">
        <f t="shared" si="3"/>
        <v>135350000</v>
      </c>
      <c r="K16" s="278">
        <f t="shared" si="3"/>
        <v>185721000</v>
      </c>
      <c r="L16" s="278">
        <f t="shared" si="3"/>
        <v>-4657000</v>
      </c>
      <c r="M16" s="278">
        <f t="shared" si="3"/>
        <v>176908000</v>
      </c>
      <c r="N16" s="278">
        <f t="shared" si="3"/>
        <v>-7669000</v>
      </c>
      <c r="O16" s="278">
        <f t="shared" si="3"/>
        <v>-2436000</v>
      </c>
      <c r="P16" s="278">
        <f t="shared" si="3"/>
        <v>-3011000</v>
      </c>
      <c r="Q16" s="278">
        <f t="shared" si="3"/>
        <v>-4265000</v>
      </c>
      <c r="R16" s="278">
        <f t="shared" si="3"/>
        <v>-574000</v>
      </c>
      <c r="S16" s="278">
        <f t="shared" si="3"/>
        <v>-117706000</v>
      </c>
      <c r="T16" s="278">
        <f t="shared" si="3"/>
        <v>-43123000</v>
      </c>
    </row>
    <row r="17" spans="1:21" s="271" customFormat="1" ht="20.100000000000001" customHeight="1">
      <c r="A17" s="270"/>
      <c r="B17" s="275" t="s">
        <v>1257</v>
      </c>
      <c r="C17" s="281" t="s">
        <v>1251</v>
      </c>
      <c r="D17" s="281"/>
      <c r="E17" s="284">
        <v>-896000</v>
      </c>
      <c r="F17" s="284">
        <v>-4301000</v>
      </c>
      <c r="G17" s="284">
        <v>-2442000</v>
      </c>
      <c r="H17" s="284">
        <v>-8602000</v>
      </c>
      <c r="I17" s="284">
        <v>-1545000</v>
      </c>
      <c r="J17" s="284">
        <v>-17204000</v>
      </c>
      <c r="K17" s="284">
        <v>-4301000</v>
      </c>
      <c r="L17" s="284">
        <v>-5156000</v>
      </c>
      <c r="M17" s="284">
        <v>-12903000</v>
      </c>
      <c r="N17" s="284">
        <v>-15469000</v>
      </c>
      <c r="O17" s="284">
        <v>-5156000</v>
      </c>
      <c r="P17" s="284">
        <v>-10313000</v>
      </c>
      <c r="Q17" s="284">
        <v>-4301000</v>
      </c>
      <c r="R17" s="284">
        <v>-5156000</v>
      </c>
      <c r="S17" s="284">
        <v>-20626000</v>
      </c>
      <c r="T17" s="284">
        <v>-20626000</v>
      </c>
    </row>
    <row r="18" spans="1:21" s="271" customFormat="1" ht="20.100000000000001" customHeight="1">
      <c r="A18" s="270"/>
      <c r="B18" s="275" t="s">
        <v>1260</v>
      </c>
      <c r="C18" s="276" t="s">
        <v>1324</v>
      </c>
      <c r="D18" s="281"/>
      <c r="E18" s="284">
        <f t="shared" ref="E18:U18" si="4">SUM(E16:E17)</f>
        <v>101647000</v>
      </c>
      <c r="F18" s="284">
        <f t="shared" si="4"/>
        <v>-8850000</v>
      </c>
      <c r="G18" s="284">
        <f t="shared" si="4"/>
        <v>104146000</v>
      </c>
      <c r="H18" s="284">
        <f t="shared" si="4"/>
        <v>-17414000</v>
      </c>
      <c r="I18" s="284">
        <f t="shared" si="4"/>
        <v>2500000</v>
      </c>
      <c r="J18" s="284">
        <f t="shared" si="4"/>
        <v>118146000</v>
      </c>
      <c r="K18" s="284">
        <f t="shared" si="4"/>
        <v>181420000</v>
      </c>
      <c r="L18" s="284">
        <f t="shared" si="4"/>
        <v>-9813000</v>
      </c>
      <c r="M18" s="284">
        <f t="shared" si="4"/>
        <v>164005000</v>
      </c>
      <c r="N18" s="284">
        <f t="shared" si="4"/>
        <v>-23138000</v>
      </c>
      <c r="O18" s="284">
        <f t="shared" si="4"/>
        <v>-7592000</v>
      </c>
      <c r="P18" s="284">
        <f t="shared" si="4"/>
        <v>-13324000</v>
      </c>
      <c r="Q18" s="284">
        <f t="shared" si="4"/>
        <v>-8566000</v>
      </c>
      <c r="R18" s="284">
        <f t="shared" si="4"/>
        <v>-5730000</v>
      </c>
      <c r="S18" s="284">
        <f t="shared" si="4"/>
        <v>-138332000</v>
      </c>
      <c r="T18" s="284">
        <f t="shared" si="4"/>
        <v>-63749000</v>
      </c>
      <c r="U18" s="284">
        <f t="shared" si="4"/>
        <v>0</v>
      </c>
    </row>
    <row r="19" spans="1:21" ht="20.100000000000001" customHeight="1">
      <c r="B19" s="275" t="s">
        <v>1261</v>
      </c>
      <c r="C19" s="276" t="s">
        <v>1258</v>
      </c>
      <c r="D19" s="277"/>
      <c r="E19" s="278">
        <f t="shared" ref="E19:K19" si="5">SUM(E20:E22)</f>
        <v>66695000</v>
      </c>
      <c r="F19" s="278">
        <f t="shared" si="5"/>
        <v>90981000</v>
      </c>
      <c r="G19" s="278">
        <f t="shared" si="5"/>
        <v>119959000</v>
      </c>
      <c r="H19" s="278">
        <f t="shared" si="5"/>
        <v>134926000</v>
      </c>
      <c r="I19" s="278">
        <f t="shared" si="5"/>
        <v>53264000</v>
      </c>
      <c r="J19" s="278">
        <f t="shared" si="5"/>
        <v>393405000</v>
      </c>
      <c r="K19" s="278">
        <f t="shared" si="5"/>
        <v>92395000</v>
      </c>
      <c r="L19" s="278">
        <f t="shared" ref="L19:T19" si="6">SUM(L20:L22)</f>
        <v>54982000</v>
      </c>
      <c r="M19" s="278">
        <f t="shared" si="6"/>
        <v>227321000</v>
      </c>
      <c r="N19" s="278">
        <f t="shared" si="6"/>
        <v>158807000</v>
      </c>
      <c r="O19" s="278">
        <f t="shared" si="6"/>
        <v>56087000</v>
      </c>
      <c r="P19" s="278">
        <f t="shared" si="6"/>
        <v>103825000</v>
      </c>
      <c r="Q19" s="278">
        <f>SUM(Q20:Q22)</f>
        <v>43945000</v>
      </c>
      <c r="R19" s="278">
        <f t="shared" si="6"/>
        <v>47738000</v>
      </c>
      <c r="S19" s="278">
        <f t="shared" si="6"/>
        <v>191894000</v>
      </c>
      <c r="T19" s="278">
        <f t="shared" si="6"/>
        <v>152754000</v>
      </c>
    </row>
    <row r="20" spans="1:21" s="269" customFormat="1" ht="20.100000000000001" customHeight="1">
      <c r="A20" s="264"/>
      <c r="B20" s="279"/>
      <c r="C20" s="280" t="s">
        <v>1120</v>
      </c>
      <c r="D20" s="281"/>
      <c r="E20" s="282">
        <v>59252000</v>
      </c>
      <c r="F20" s="282">
        <v>72188000</v>
      </c>
      <c r="G20" s="282">
        <v>102106000</v>
      </c>
      <c r="H20" s="282">
        <v>97543000</v>
      </c>
      <c r="I20" s="282">
        <v>42854000</v>
      </c>
      <c r="J20" s="282">
        <v>317656000</v>
      </c>
      <c r="K20" s="282">
        <v>72878000</v>
      </c>
      <c r="L20" s="282">
        <v>4328000</v>
      </c>
      <c r="M20" s="282">
        <v>170421000</v>
      </c>
      <c r="N20" s="282">
        <v>66664000</v>
      </c>
      <c r="O20" s="282">
        <v>41094000</v>
      </c>
      <c r="P20" s="282">
        <v>62336000</v>
      </c>
      <c r="Q20" s="282">
        <v>25355000</v>
      </c>
      <c r="R20" s="282">
        <v>21242000</v>
      </c>
      <c r="S20" s="282">
        <v>79910000</v>
      </c>
      <c r="T20" s="282">
        <v>37934000</v>
      </c>
    </row>
    <row r="21" spans="1:21" s="269" customFormat="1" ht="20.100000000000001" customHeight="1">
      <c r="A21" s="264"/>
      <c r="B21" s="279"/>
      <c r="C21" s="280" t="s">
        <v>1259</v>
      </c>
      <c r="D21" s="281"/>
      <c r="E21" s="282">
        <v>0</v>
      </c>
      <c r="F21" s="282">
        <v>45000</v>
      </c>
      <c r="G21" s="282">
        <v>0</v>
      </c>
      <c r="H21" s="282">
        <v>45000</v>
      </c>
      <c r="I21" s="282">
        <v>0</v>
      </c>
      <c r="J21" s="282">
        <v>45000</v>
      </c>
      <c r="K21" s="282">
        <v>0</v>
      </c>
      <c r="L21" s="282">
        <v>22986000</v>
      </c>
      <c r="M21" s="282">
        <v>45000</v>
      </c>
      <c r="N21" s="282">
        <v>23034000</v>
      </c>
      <c r="O21" s="282">
        <v>16000</v>
      </c>
      <c r="P21" s="282">
        <v>48000</v>
      </c>
      <c r="Q21" s="282">
        <v>0</v>
      </c>
      <c r="R21" s="282">
        <v>32000</v>
      </c>
      <c r="S21" s="282">
        <v>23034000</v>
      </c>
      <c r="T21" s="282">
        <v>440000</v>
      </c>
    </row>
    <row r="22" spans="1:21" s="269" customFormat="1" ht="20.100000000000001" customHeight="1">
      <c r="A22" s="264"/>
      <c r="B22" s="279"/>
      <c r="C22" s="280" t="s">
        <v>1247</v>
      </c>
      <c r="D22" s="281"/>
      <c r="E22" s="282">
        <v>7443000</v>
      </c>
      <c r="F22" s="282">
        <v>18748000</v>
      </c>
      <c r="G22" s="282">
        <v>17853000</v>
      </c>
      <c r="H22" s="282">
        <v>37338000</v>
      </c>
      <c r="I22" s="282">
        <v>10410000</v>
      </c>
      <c r="J22" s="282">
        <v>75704000</v>
      </c>
      <c r="K22" s="282">
        <v>19517000</v>
      </c>
      <c r="L22" s="282">
        <v>27668000</v>
      </c>
      <c r="M22" s="282">
        <v>56855000</v>
      </c>
      <c r="N22" s="282">
        <v>69109000</v>
      </c>
      <c r="O22" s="282">
        <v>14977000</v>
      </c>
      <c r="P22" s="282">
        <v>41441000</v>
      </c>
      <c r="Q22" s="282">
        <v>18590000</v>
      </c>
      <c r="R22" s="282">
        <v>26464000</v>
      </c>
      <c r="S22" s="282">
        <v>88950000</v>
      </c>
      <c r="T22" s="282">
        <v>114380000</v>
      </c>
    </row>
    <row r="23" spans="1:21" ht="20.100000000000001" customHeight="1">
      <c r="B23" s="275" t="s">
        <v>1325</v>
      </c>
      <c r="C23" s="276" t="s">
        <v>1326</v>
      </c>
      <c r="D23" s="277"/>
      <c r="E23" s="278">
        <f t="shared" ref="E23:S23" si="7">E18+E19</f>
        <v>168342000</v>
      </c>
      <c r="F23" s="278">
        <f t="shared" si="7"/>
        <v>82131000</v>
      </c>
      <c r="G23" s="278">
        <f t="shared" si="7"/>
        <v>224105000</v>
      </c>
      <c r="H23" s="278">
        <f t="shared" si="7"/>
        <v>117512000</v>
      </c>
      <c r="I23" s="278">
        <f t="shared" si="7"/>
        <v>55764000</v>
      </c>
      <c r="J23" s="278">
        <f t="shared" si="7"/>
        <v>511551000</v>
      </c>
      <c r="K23" s="278">
        <f t="shared" si="7"/>
        <v>273815000</v>
      </c>
      <c r="L23" s="278">
        <f t="shared" si="7"/>
        <v>45169000</v>
      </c>
      <c r="M23" s="278">
        <f t="shared" si="7"/>
        <v>391326000</v>
      </c>
      <c r="N23" s="278">
        <f t="shared" si="7"/>
        <v>135669000</v>
      </c>
      <c r="O23" s="278">
        <f t="shared" si="7"/>
        <v>48495000</v>
      </c>
      <c r="P23" s="278">
        <f t="shared" si="7"/>
        <v>90501000</v>
      </c>
      <c r="Q23" s="278">
        <f t="shared" si="7"/>
        <v>35379000</v>
      </c>
      <c r="R23" s="278">
        <f t="shared" si="7"/>
        <v>42008000</v>
      </c>
      <c r="S23" s="278">
        <f t="shared" si="7"/>
        <v>53562000</v>
      </c>
      <c r="T23" s="278">
        <f>T16+T19</f>
        <v>109631000</v>
      </c>
    </row>
    <row r="24" spans="1:21" ht="20.100000000000001" customHeight="1">
      <c r="B24" s="275" t="s">
        <v>1327</v>
      </c>
      <c r="C24" s="276" t="s">
        <v>1262</v>
      </c>
      <c r="D24" s="281"/>
      <c r="E24" s="278">
        <f>(E25+E30+E34+E36)</f>
        <v>-168342000</v>
      </c>
      <c r="F24" s="278">
        <f>F25+F30+F34+F36</f>
        <v>-82131000</v>
      </c>
      <c r="G24" s="278">
        <f>(G25+G30+G34+G36)</f>
        <v>-224105000</v>
      </c>
      <c r="H24" s="278">
        <f>H25+H30+H34+H36</f>
        <v>-117512000</v>
      </c>
      <c r="I24" s="278">
        <f>(I25+I30+I34+I36)</f>
        <v>-55763000</v>
      </c>
      <c r="J24" s="278">
        <f>(J25+J30+J34+J36)-1000</f>
        <v>-511551000</v>
      </c>
      <c r="K24" s="278">
        <f t="shared" ref="K24:T24" si="8">K25+K30+K34+K36</f>
        <v>-273817000</v>
      </c>
      <c r="L24" s="278">
        <f t="shared" si="8"/>
        <v>-45169000</v>
      </c>
      <c r="M24" s="278">
        <f t="shared" si="8"/>
        <v>-391327000</v>
      </c>
      <c r="N24" s="278">
        <f t="shared" si="8"/>
        <v>-135671000</v>
      </c>
      <c r="O24" s="278">
        <f t="shared" si="8"/>
        <v>-48495000</v>
      </c>
      <c r="P24" s="278">
        <f t="shared" si="8"/>
        <v>-90501000</v>
      </c>
      <c r="Q24" s="278">
        <f t="shared" si="8"/>
        <v>-35379000</v>
      </c>
      <c r="R24" s="278">
        <f t="shared" si="8"/>
        <v>-42008000</v>
      </c>
      <c r="S24" s="278">
        <f t="shared" si="8"/>
        <v>-53559000</v>
      </c>
      <c r="T24" s="278">
        <f t="shared" si="8"/>
        <v>-89003000</v>
      </c>
    </row>
    <row r="25" spans="1:21" s="271" customFormat="1" ht="20.100000000000001" customHeight="1">
      <c r="A25" s="270"/>
      <c r="B25" s="283"/>
      <c r="C25" s="281" t="s">
        <v>1263</v>
      </c>
      <c r="D25" s="281"/>
      <c r="E25" s="284">
        <f t="shared" ref="E25:T25" si="9">SUM(E26:E29)</f>
        <v>-5422000</v>
      </c>
      <c r="F25" s="284">
        <f t="shared" si="9"/>
        <v>-4457000</v>
      </c>
      <c r="G25" s="284">
        <f t="shared" si="9"/>
        <v>-10911000</v>
      </c>
      <c r="H25" s="284">
        <f t="shared" si="9"/>
        <v>-7834000</v>
      </c>
      <c r="I25" s="284">
        <f t="shared" si="9"/>
        <v>-5489000</v>
      </c>
      <c r="J25" s="284">
        <f t="shared" si="9"/>
        <v>-17952000</v>
      </c>
      <c r="K25" s="284">
        <f t="shared" si="9"/>
        <v>-4583000</v>
      </c>
      <c r="L25" s="284">
        <f t="shared" si="9"/>
        <v>-3225000</v>
      </c>
      <c r="M25" s="284">
        <f t="shared" si="9"/>
        <v>-12417000</v>
      </c>
      <c r="N25" s="284">
        <f t="shared" si="9"/>
        <v>-9700000</v>
      </c>
      <c r="O25" s="284">
        <f t="shared" si="9"/>
        <v>-3876000</v>
      </c>
      <c r="P25" s="284">
        <f t="shared" si="9"/>
        <v>-6475000</v>
      </c>
      <c r="Q25" s="284">
        <f t="shared" si="9"/>
        <v>-3376000</v>
      </c>
      <c r="R25" s="284">
        <f t="shared" si="9"/>
        <v>-2599000</v>
      </c>
      <c r="S25" s="284">
        <f t="shared" si="9"/>
        <v>-12909000</v>
      </c>
      <c r="T25" s="284">
        <f t="shared" si="9"/>
        <v>-9587000</v>
      </c>
    </row>
    <row r="26" spans="1:21" s="269" customFormat="1" ht="20.100000000000001" customHeight="1">
      <c r="A26" s="264"/>
      <c r="B26" s="279"/>
      <c r="C26" s="285" t="s">
        <v>1264</v>
      </c>
      <c r="D26" s="281"/>
      <c r="E26" s="282">
        <v>-3788000</v>
      </c>
      <c r="F26" s="282">
        <v>-3422000</v>
      </c>
      <c r="G26" s="282">
        <v>-7576000</v>
      </c>
      <c r="H26" s="282">
        <v>-6207000</v>
      </c>
      <c r="I26" s="282">
        <v>-3787000</v>
      </c>
      <c r="J26" s="282">
        <v>-13155000</v>
      </c>
      <c r="K26" s="282">
        <v>-3001000</v>
      </c>
      <c r="L26" s="282">
        <v>-2620000</v>
      </c>
      <c r="M26" s="282">
        <v>-9208000</v>
      </c>
      <c r="N26" s="282">
        <v>-7094000</v>
      </c>
      <c r="O26" s="282">
        <v>-2372000</v>
      </c>
      <c r="P26" s="282">
        <v>-4474000</v>
      </c>
      <c r="Q26" s="282">
        <v>-2785000</v>
      </c>
      <c r="R26" s="282">
        <v>-2102000</v>
      </c>
      <c r="S26" s="282">
        <v>-9657000</v>
      </c>
      <c r="T26" s="282">
        <v>-7548000</v>
      </c>
    </row>
    <row r="27" spans="1:21" s="269" customFormat="1" ht="20.100000000000001" customHeight="1">
      <c r="A27" s="264"/>
      <c r="B27" s="279"/>
      <c r="C27" s="285" t="s">
        <v>1265</v>
      </c>
      <c r="D27" s="281"/>
      <c r="E27" s="282">
        <v>-644000</v>
      </c>
      <c r="F27" s="282">
        <v>-809000</v>
      </c>
      <c r="G27" s="282">
        <v>-2035000</v>
      </c>
      <c r="H27" s="282">
        <v>-1187000</v>
      </c>
      <c r="I27" s="282">
        <v>-1391000</v>
      </c>
      <c r="J27" s="282">
        <v>-3129000</v>
      </c>
      <c r="K27" s="282">
        <v>-1333000</v>
      </c>
      <c r="L27" s="282">
        <v>-392000</v>
      </c>
      <c r="M27" s="282">
        <v>-2520000</v>
      </c>
      <c r="N27" s="282">
        <v>-1442000</v>
      </c>
      <c r="O27" s="282">
        <v>-722000</v>
      </c>
      <c r="P27" s="282">
        <v>-1050000</v>
      </c>
      <c r="Q27" s="282">
        <v>-378000</v>
      </c>
      <c r="R27" s="282">
        <v>-328000</v>
      </c>
      <c r="S27" s="282">
        <v>-1854000</v>
      </c>
      <c r="T27" s="282">
        <v>-1462000</v>
      </c>
    </row>
    <row r="28" spans="1:21" s="269" customFormat="1" ht="20.100000000000001" customHeight="1">
      <c r="A28" s="264"/>
      <c r="B28" s="279"/>
      <c r="C28" s="285" t="s">
        <v>1266</v>
      </c>
      <c r="D28" s="281"/>
      <c r="E28" s="282">
        <v>-274000</v>
      </c>
      <c r="F28" s="282">
        <v>-226000</v>
      </c>
      <c r="G28" s="282">
        <v>-584000</v>
      </c>
      <c r="H28" s="282">
        <v>-440000</v>
      </c>
      <c r="I28" s="282">
        <v>-311000</v>
      </c>
      <c r="J28" s="282">
        <v>-1024000</v>
      </c>
      <c r="K28" s="282">
        <v>-249000</v>
      </c>
      <c r="L28" s="282">
        <v>-213000</v>
      </c>
      <c r="M28" s="282">
        <v>-689000</v>
      </c>
      <c r="N28" s="282">
        <v>-611000</v>
      </c>
      <c r="O28" s="282">
        <v>-229000</v>
      </c>
      <c r="P28" s="282">
        <v>-398000</v>
      </c>
      <c r="Q28" s="282">
        <v>-213000</v>
      </c>
      <c r="R28" s="282">
        <v>-169000</v>
      </c>
      <c r="S28" s="282">
        <v>-845000</v>
      </c>
      <c r="T28" s="282">
        <v>-577000</v>
      </c>
    </row>
    <row r="29" spans="1:21" s="269" customFormat="1" ht="20.100000000000001" customHeight="1">
      <c r="A29" s="264"/>
      <c r="B29" s="279"/>
      <c r="C29" s="285" t="s">
        <v>1145</v>
      </c>
      <c r="D29" s="281"/>
      <c r="E29" s="282">
        <v>-716000</v>
      </c>
      <c r="F29" s="282">
        <v>0</v>
      </c>
      <c r="G29" s="282">
        <v>-716000</v>
      </c>
      <c r="H29" s="282">
        <v>0</v>
      </c>
      <c r="I29" s="282">
        <v>0</v>
      </c>
      <c r="J29" s="282">
        <v>-644000</v>
      </c>
      <c r="K29" s="282">
        <v>0</v>
      </c>
      <c r="L29" s="282">
        <v>0</v>
      </c>
      <c r="M29" s="282">
        <v>0</v>
      </c>
      <c r="N29" s="282">
        <v>-553000</v>
      </c>
      <c r="O29" s="282">
        <v>-553000</v>
      </c>
      <c r="P29" s="282">
        <v>-553000</v>
      </c>
      <c r="Q29" s="282">
        <v>0</v>
      </c>
      <c r="R29" s="282">
        <v>0</v>
      </c>
      <c r="S29" s="282">
        <v>-553000</v>
      </c>
      <c r="T29" s="282">
        <v>0</v>
      </c>
    </row>
    <row r="30" spans="1:21" s="271" customFormat="1" ht="20.100000000000001" customHeight="1">
      <c r="A30" s="270"/>
      <c r="B30" s="283"/>
      <c r="C30" s="281" t="s">
        <v>1267</v>
      </c>
      <c r="D30" s="281"/>
      <c r="E30" s="284">
        <f>SUM(E31:E33)</f>
        <v>66551000</v>
      </c>
      <c r="F30" s="284">
        <f>SUM(F31:F33)</f>
        <v>-10059000</v>
      </c>
      <c r="G30" s="284">
        <f>SUM(G31:G33)</f>
        <v>54534000</v>
      </c>
      <c r="H30" s="284">
        <f>SUM(H31:H33)</f>
        <v>-19471000</v>
      </c>
      <c r="I30" s="284">
        <f>SUM(I31:I33)</f>
        <v>-12017000</v>
      </c>
      <c r="J30" s="284">
        <f t="shared" ref="J30" si="10">SUM(J31:J33)</f>
        <v>-103005000</v>
      </c>
      <c r="K30" s="284">
        <f t="shared" ref="K30:T30" si="11">SUM(K31:K33)</f>
        <v>-79905000</v>
      </c>
      <c r="L30" s="284">
        <f t="shared" si="11"/>
        <v>-21358000</v>
      </c>
      <c r="M30" s="284">
        <f t="shared" si="11"/>
        <v>-99376000</v>
      </c>
      <c r="N30" s="284">
        <f t="shared" si="11"/>
        <v>-34985000</v>
      </c>
      <c r="O30" s="284">
        <f t="shared" si="11"/>
        <v>-9125000</v>
      </c>
      <c r="P30" s="284">
        <f t="shared" si="11"/>
        <v>-13627000</v>
      </c>
      <c r="Q30" s="284">
        <f>SUM(Q31:Q33)</f>
        <v>-9411000</v>
      </c>
      <c r="R30" s="284">
        <f t="shared" si="11"/>
        <v>-4503000</v>
      </c>
      <c r="S30" s="284">
        <f>SUM(S31:S33)</f>
        <v>-896000</v>
      </c>
      <c r="T30" s="284">
        <f t="shared" si="11"/>
        <v>-33165000</v>
      </c>
    </row>
    <row r="31" spans="1:21" s="269" customFormat="1" ht="20.100000000000001" customHeight="1">
      <c r="A31" s="264"/>
      <c r="B31" s="279"/>
      <c r="C31" s="285" t="s">
        <v>1142</v>
      </c>
      <c r="D31" s="281"/>
      <c r="E31" s="282">
        <v>69565000</v>
      </c>
      <c r="F31" s="282">
        <v>-7130000</v>
      </c>
      <c r="G31" s="282">
        <v>60975000</v>
      </c>
      <c r="H31" s="282">
        <v>-13789000</v>
      </c>
      <c r="I31" s="282">
        <v>-8590000</v>
      </c>
      <c r="J31" s="282">
        <v>-90101000</v>
      </c>
      <c r="K31" s="282">
        <v>-76694000</v>
      </c>
      <c r="L31" s="282">
        <v>-15196000</v>
      </c>
      <c r="M31" s="282">
        <v>-90483000</v>
      </c>
      <c r="N31" s="282">
        <v>-25060000</v>
      </c>
      <c r="O31" s="282">
        <v>-6549000</v>
      </c>
      <c r="P31" s="282">
        <v>-9864000</v>
      </c>
      <c r="Q31" s="282">
        <v>-6658000</v>
      </c>
      <c r="R31" s="282">
        <v>-3315000</v>
      </c>
      <c r="S31" s="282">
        <v>9817000</v>
      </c>
      <c r="T31" s="282">
        <v>-26282000</v>
      </c>
    </row>
    <row r="32" spans="1:21" s="269" customFormat="1" ht="20.100000000000001" customHeight="1">
      <c r="A32" s="264"/>
      <c r="B32" s="279"/>
      <c r="C32" s="285" t="s">
        <v>1268</v>
      </c>
      <c r="D32" s="281"/>
      <c r="E32" s="282">
        <v>-824000</v>
      </c>
      <c r="F32" s="282">
        <v>-643000</v>
      </c>
      <c r="G32" s="282">
        <v>-1637000</v>
      </c>
      <c r="H32" s="282">
        <v>-1330000</v>
      </c>
      <c r="I32" s="282">
        <v>-813000</v>
      </c>
      <c r="J32" s="282">
        <v>-3008000</v>
      </c>
      <c r="K32" s="282">
        <v>-759000</v>
      </c>
      <c r="L32" s="282">
        <v>-615000</v>
      </c>
      <c r="M32" s="282">
        <v>-2089000</v>
      </c>
      <c r="N32" s="282">
        <v>-1834000</v>
      </c>
      <c r="O32" s="282">
        <v>-703000</v>
      </c>
      <c r="P32" s="282">
        <v>-1219000</v>
      </c>
      <c r="Q32" s="282">
        <v>-687000</v>
      </c>
      <c r="R32" s="282">
        <v>-516000</v>
      </c>
      <c r="S32" s="282">
        <v>-2633000</v>
      </c>
      <c r="T32" s="282">
        <v>-1781000</v>
      </c>
    </row>
    <row r="33" spans="1:20" s="269" customFormat="1" ht="20.100000000000001" customHeight="1">
      <c r="A33" s="264"/>
      <c r="B33" s="279"/>
      <c r="C33" s="285" t="s">
        <v>1269</v>
      </c>
      <c r="D33" s="281"/>
      <c r="E33" s="282">
        <v>-2190000</v>
      </c>
      <c r="F33" s="282">
        <v>-2286000</v>
      </c>
      <c r="G33" s="282">
        <v>-4804000</v>
      </c>
      <c r="H33" s="282">
        <v>-4352000</v>
      </c>
      <c r="I33" s="282">
        <v>-2614000</v>
      </c>
      <c r="J33" s="282">
        <v>-9896000</v>
      </c>
      <c r="K33" s="282">
        <v>-2452000</v>
      </c>
      <c r="L33" s="282">
        <v>-5547000</v>
      </c>
      <c r="M33" s="282">
        <v>-6804000</v>
      </c>
      <c r="N33" s="282">
        <v>-8091000</v>
      </c>
      <c r="O33" s="282">
        <v>-1873000</v>
      </c>
      <c r="P33" s="282">
        <v>-2544000</v>
      </c>
      <c r="Q33" s="282">
        <v>-2066000</v>
      </c>
      <c r="R33" s="282">
        <v>-672000</v>
      </c>
      <c r="S33" s="282">
        <v>-8080000</v>
      </c>
      <c r="T33" s="282">
        <v>-5102000</v>
      </c>
    </row>
    <row r="34" spans="1:20" s="271" customFormat="1" ht="20.100000000000001" customHeight="1">
      <c r="A34" s="270"/>
      <c r="B34" s="283"/>
      <c r="C34" s="281" t="s">
        <v>1270</v>
      </c>
      <c r="D34" s="281"/>
      <c r="E34" s="284">
        <f>SUM(E35:E35)</f>
        <v>-907000</v>
      </c>
      <c r="F34" s="284">
        <f>SUM(F35:F35)</f>
        <v>-984000</v>
      </c>
      <c r="G34" s="284">
        <f>SUM(G35:G35)</f>
        <v>-1834000</v>
      </c>
      <c r="H34" s="284">
        <f>SUM(H35:H35)</f>
        <v>-1922000</v>
      </c>
      <c r="I34" s="284">
        <f>SUM(I35:I35)</f>
        <v>-927000</v>
      </c>
      <c r="J34" s="284">
        <f t="shared" ref="J34:T34" si="12">SUM(J35:J35)</f>
        <v>-3419000</v>
      </c>
      <c r="K34" s="284">
        <f t="shared" si="12"/>
        <v>-1004000</v>
      </c>
      <c r="L34" s="284">
        <f t="shared" si="12"/>
        <v>0</v>
      </c>
      <c r="M34" s="284">
        <f t="shared" si="12"/>
        <v>-2925000</v>
      </c>
      <c r="N34" s="284">
        <f t="shared" si="12"/>
        <v>-233000</v>
      </c>
      <c r="O34" s="284">
        <f t="shared" si="12"/>
        <v>-61000</v>
      </c>
      <c r="P34" s="284">
        <f t="shared" si="12"/>
        <v>-233000</v>
      </c>
      <c r="Q34" s="284">
        <f t="shared" si="12"/>
        <v>-938000</v>
      </c>
      <c r="R34" s="284">
        <f t="shared" si="12"/>
        <v>-172000</v>
      </c>
      <c r="S34" s="284">
        <f t="shared" si="12"/>
        <v>-233000</v>
      </c>
      <c r="T34" s="284">
        <f t="shared" si="12"/>
        <v>0</v>
      </c>
    </row>
    <row r="35" spans="1:20" s="269" customFormat="1" ht="20.100000000000001" customHeight="1">
      <c r="A35" s="264"/>
      <c r="B35" s="279"/>
      <c r="C35" s="285" t="s">
        <v>1117</v>
      </c>
      <c r="D35" s="286"/>
      <c r="E35" s="282">
        <v>-907000</v>
      </c>
      <c r="F35" s="282">
        <v>-984000</v>
      </c>
      <c r="G35" s="282">
        <v>-1834000</v>
      </c>
      <c r="H35" s="282">
        <v>-1922000</v>
      </c>
      <c r="I35" s="282">
        <v>-927000</v>
      </c>
      <c r="J35" s="282">
        <v>-3419000</v>
      </c>
      <c r="K35" s="282">
        <v>-1004000</v>
      </c>
      <c r="L35" s="282">
        <v>0</v>
      </c>
      <c r="M35" s="282">
        <v>-2925000</v>
      </c>
      <c r="N35" s="282">
        <v>-233000</v>
      </c>
      <c r="O35" s="282">
        <v>-61000</v>
      </c>
      <c r="P35" s="282">
        <v>-233000</v>
      </c>
      <c r="Q35" s="282">
        <v>-938000</v>
      </c>
      <c r="R35" s="282">
        <v>-172000</v>
      </c>
      <c r="S35" s="282">
        <v>-233000</v>
      </c>
      <c r="T35" s="282">
        <v>0</v>
      </c>
    </row>
    <row r="36" spans="1:20" s="271" customFormat="1" ht="20.100000000000001" customHeight="1">
      <c r="A36" s="270"/>
      <c r="B36" s="283"/>
      <c r="C36" s="281" t="s">
        <v>1323</v>
      </c>
      <c r="D36" s="281"/>
      <c r="E36" s="284">
        <f t="shared" ref="E36:K36" si="13">SUM(E37:E39)</f>
        <v>-228564000</v>
      </c>
      <c r="F36" s="284">
        <f t="shared" si="13"/>
        <v>-66631000</v>
      </c>
      <c r="G36" s="284">
        <f t="shared" si="13"/>
        <v>-265894000</v>
      </c>
      <c r="H36" s="284">
        <f t="shared" si="13"/>
        <v>-88285000</v>
      </c>
      <c r="I36" s="284">
        <f t="shared" si="13"/>
        <v>-37330000</v>
      </c>
      <c r="J36" s="284">
        <f t="shared" si="13"/>
        <v>-387174000</v>
      </c>
      <c r="K36" s="284">
        <f t="shared" si="13"/>
        <v>-188325000</v>
      </c>
      <c r="L36" s="284">
        <f t="shared" ref="L36:T36" si="14">SUM(L37:L39)</f>
        <v>-20586000</v>
      </c>
      <c r="M36" s="284">
        <f t="shared" si="14"/>
        <v>-276609000</v>
      </c>
      <c r="N36" s="284">
        <f t="shared" si="14"/>
        <v>-90753000</v>
      </c>
      <c r="O36" s="284">
        <f t="shared" si="14"/>
        <v>-35433000</v>
      </c>
      <c r="P36" s="284">
        <f t="shared" si="14"/>
        <v>-70166000</v>
      </c>
      <c r="Q36" s="284">
        <f t="shared" si="14"/>
        <v>-21654000</v>
      </c>
      <c r="R36" s="284">
        <f t="shared" si="14"/>
        <v>-34734000</v>
      </c>
      <c r="S36" s="284">
        <f>SUM(S37:S39)</f>
        <v>-39521000</v>
      </c>
      <c r="T36" s="284">
        <f t="shared" si="14"/>
        <v>-46251000</v>
      </c>
    </row>
    <row r="37" spans="1:20" s="269" customFormat="1" ht="20.100000000000001" hidden="1" customHeight="1" outlineLevel="1">
      <c r="A37" s="264"/>
      <c r="B37" s="279"/>
      <c r="C37" s="285" t="s">
        <v>1321</v>
      </c>
      <c r="D37" s="286"/>
      <c r="E37" s="282">
        <v>0</v>
      </c>
      <c r="F37" s="282">
        <v>0</v>
      </c>
      <c r="G37" s="282">
        <v>0</v>
      </c>
      <c r="H37" s="282">
        <v>0</v>
      </c>
      <c r="I37" s="282">
        <v>0</v>
      </c>
      <c r="J37" s="282">
        <v>-91954000</v>
      </c>
      <c r="K37" s="282">
        <v>0</v>
      </c>
      <c r="L37" s="282">
        <v>0</v>
      </c>
      <c r="M37" s="282">
        <v>0</v>
      </c>
      <c r="N37" s="282">
        <v>0</v>
      </c>
      <c r="O37" s="282">
        <v>0</v>
      </c>
      <c r="P37" s="282">
        <v>0</v>
      </c>
      <c r="Q37" s="282">
        <v>0</v>
      </c>
      <c r="R37" s="282">
        <v>0</v>
      </c>
      <c r="S37" s="282">
        <v>-9386000</v>
      </c>
      <c r="T37" s="282">
        <v>-10985000</v>
      </c>
    </row>
    <row r="38" spans="1:20" s="269" customFormat="1" ht="20.100000000000001" hidden="1" customHeight="1" outlineLevel="1">
      <c r="A38" s="264"/>
      <c r="B38" s="279"/>
      <c r="C38" s="285" t="s">
        <v>1285</v>
      </c>
      <c r="D38" s="286"/>
      <c r="E38" s="282">
        <v>0</v>
      </c>
      <c r="F38" s="282">
        <v>0</v>
      </c>
      <c r="G38" s="282">
        <v>0</v>
      </c>
      <c r="H38" s="282">
        <v>0</v>
      </c>
      <c r="I38" s="282">
        <v>0</v>
      </c>
      <c r="J38" s="282">
        <v>-275861000</v>
      </c>
      <c r="K38" s="282">
        <v>0</v>
      </c>
      <c r="L38" s="282">
        <v>0</v>
      </c>
      <c r="M38" s="282">
        <v>0</v>
      </c>
      <c r="N38" s="282">
        <v>0</v>
      </c>
      <c r="O38" s="282">
        <v>0</v>
      </c>
      <c r="P38" s="282">
        <v>0</v>
      </c>
      <c r="Q38" s="282">
        <v>0</v>
      </c>
      <c r="R38" s="282">
        <v>0</v>
      </c>
      <c r="S38" s="282">
        <v>0</v>
      </c>
      <c r="T38" s="282">
        <v>0</v>
      </c>
    </row>
    <row r="39" spans="1:20" s="269" customFormat="1" ht="20.100000000000001" customHeight="1" collapsed="1">
      <c r="A39" s="264"/>
      <c r="B39" s="373"/>
      <c r="C39" s="374" t="s">
        <v>1271</v>
      </c>
      <c r="D39" s="375"/>
      <c r="E39" s="376">
        <v>-228564000</v>
      </c>
      <c r="F39" s="376">
        <v>-66631000</v>
      </c>
      <c r="G39" s="376">
        <v>-265894000</v>
      </c>
      <c r="H39" s="376">
        <v>-88285000</v>
      </c>
      <c r="I39" s="376">
        <v>-37330000</v>
      </c>
      <c r="J39" s="376">
        <v>-19359000</v>
      </c>
      <c r="K39" s="376">
        <v>-188325000</v>
      </c>
      <c r="L39" s="376">
        <v>-20586000</v>
      </c>
      <c r="M39" s="376">
        <v>-276609000</v>
      </c>
      <c r="N39" s="376">
        <v>-90753000</v>
      </c>
      <c r="O39" s="376">
        <v>-35433000</v>
      </c>
      <c r="P39" s="376">
        <v>-70166000</v>
      </c>
      <c r="Q39" s="376">
        <v>-21654000</v>
      </c>
      <c r="R39" s="376">
        <v>-34734000</v>
      </c>
      <c r="S39" s="376">
        <v>-30135000</v>
      </c>
      <c r="T39" s="282">
        <v>-35266000</v>
      </c>
    </row>
    <row r="40" spans="1:20" s="195" customFormat="1" ht="15" customHeight="1">
      <c r="B40" s="225" t="s">
        <v>345</v>
      </c>
      <c r="C40" s="244"/>
      <c r="D40" s="244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</row>
    <row r="41" spans="1:20" ht="15" customHeight="1">
      <c r="B41" s="272"/>
      <c r="D41" s="267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</row>
    <row r="43" spans="1:20" s="195" customFormat="1" ht="12">
      <c r="B43" s="190" t="s">
        <v>1239</v>
      </c>
      <c r="C43" s="203"/>
      <c r="D43" s="203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</row>
    <row r="44" spans="1:20" s="195" customFormat="1" ht="12">
      <c r="B44" s="204" t="s">
        <v>1320</v>
      </c>
      <c r="C44" s="205"/>
      <c r="D44" s="205"/>
      <c r="E44" s="205">
        <f t="shared" ref="E44:G44" si="15">E23+E24</f>
        <v>0</v>
      </c>
      <c r="F44" s="205">
        <f>F23+F24</f>
        <v>0</v>
      </c>
      <c r="G44" s="205">
        <f t="shared" si="15"/>
        <v>0</v>
      </c>
      <c r="H44" s="205">
        <f>H23+H24</f>
        <v>0</v>
      </c>
      <c r="I44" s="205">
        <f t="shared" ref="I44:T44" si="16">I23+I24</f>
        <v>1000</v>
      </c>
      <c r="J44" s="205">
        <f t="shared" si="16"/>
        <v>0</v>
      </c>
      <c r="K44" s="205">
        <f t="shared" si="16"/>
        <v>-2000</v>
      </c>
      <c r="L44" s="205">
        <f t="shared" si="16"/>
        <v>0</v>
      </c>
      <c r="M44" s="205">
        <f t="shared" si="16"/>
        <v>-1000</v>
      </c>
      <c r="N44" s="205">
        <f t="shared" si="16"/>
        <v>-2000</v>
      </c>
      <c r="O44" s="205">
        <f t="shared" si="16"/>
        <v>0</v>
      </c>
      <c r="P44" s="205">
        <f t="shared" si="16"/>
        <v>0</v>
      </c>
      <c r="Q44" s="205">
        <f t="shared" si="16"/>
        <v>0</v>
      </c>
      <c r="R44" s="205">
        <f t="shared" si="16"/>
        <v>0</v>
      </c>
      <c r="S44" s="205">
        <f t="shared" si="16"/>
        <v>3000</v>
      </c>
      <c r="T44" s="205">
        <f t="shared" si="16"/>
        <v>20628000</v>
      </c>
    </row>
  </sheetData>
  <mergeCells count="17">
    <mergeCell ref="B3:D4"/>
    <mergeCell ref="O3:O4"/>
    <mergeCell ref="Q3:Q4"/>
    <mergeCell ref="R3:R4"/>
    <mergeCell ref="K3:K4"/>
    <mergeCell ref="L3:L4"/>
    <mergeCell ref="M3:M4"/>
    <mergeCell ref="N3:N4"/>
    <mergeCell ref="H3:H4"/>
    <mergeCell ref="P3:P4"/>
    <mergeCell ref="F3:F4"/>
    <mergeCell ref="J3:J4"/>
    <mergeCell ref="I3:I4"/>
    <mergeCell ref="E3:E4"/>
    <mergeCell ref="G3:G4"/>
    <mergeCell ref="S3:S4"/>
    <mergeCell ref="T3:T4"/>
  </mergeCells>
  <conditionalFormatting sqref="D17:D18 F41 O41:R41 H41">
    <cfRule type="cellIs" dxfId="111" priority="8137" operator="lessThan">
      <formula>0</formula>
    </cfRule>
  </conditionalFormatting>
  <conditionalFormatting sqref="D35">
    <cfRule type="cellIs" dxfId="110" priority="7976" operator="lessThan">
      <formula>0</formula>
    </cfRule>
  </conditionalFormatting>
  <conditionalFormatting sqref="D21:D22">
    <cfRule type="cellIs" dxfId="109" priority="8096" operator="lessThan">
      <formula>0</formula>
    </cfRule>
  </conditionalFormatting>
  <conditionalFormatting sqref="D33">
    <cfRule type="cellIs" dxfId="108" priority="7951" operator="lessThan">
      <formula>0</formula>
    </cfRule>
  </conditionalFormatting>
  <conditionalFormatting sqref="D20">
    <cfRule type="cellIs" dxfId="107" priority="8018" operator="lessThan">
      <formula>0</formula>
    </cfRule>
  </conditionalFormatting>
  <conditionalFormatting sqref="D31">
    <cfRule type="cellIs" dxfId="106" priority="7932" operator="lessThan">
      <formula>0</formula>
    </cfRule>
  </conditionalFormatting>
  <conditionalFormatting sqref="D10">
    <cfRule type="cellIs" dxfId="105" priority="7853" operator="lessThan">
      <formula>0</formula>
    </cfRule>
  </conditionalFormatting>
  <conditionalFormatting sqref="D9">
    <cfRule type="cellIs" dxfId="104" priority="7751" operator="lessThan">
      <formula>0</formula>
    </cfRule>
  </conditionalFormatting>
  <conditionalFormatting sqref="D32">
    <cfRule type="cellIs" dxfId="103" priority="7578" operator="lessThan">
      <formula>0</formula>
    </cfRule>
  </conditionalFormatting>
  <conditionalFormatting sqref="D6:D7">
    <cfRule type="cellIs" dxfId="102" priority="7699" operator="lessThan">
      <formula>0</formula>
    </cfRule>
  </conditionalFormatting>
  <conditionalFormatting sqref="D30">
    <cfRule type="cellIs" dxfId="101" priority="7667" operator="lessThan">
      <formula>0</formula>
    </cfRule>
  </conditionalFormatting>
  <conditionalFormatting sqref="D34">
    <cfRule type="cellIs" dxfId="100" priority="7651" operator="lessThan">
      <formula>0</formula>
    </cfRule>
  </conditionalFormatting>
  <conditionalFormatting sqref="D36">
    <cfRule type="cellIs" dxfId="99" priority="7637" operator="lessThan">
      <formula>0</formula>
    </cfRule>
  </conditionalFormatting>
  <conditionalFormatting sqref="D12 D14">
    <cfRule type="cellIs" dxfId="98" priority="7622" operator="lessThan">
      <formula>0</formula>
    </cfRule>
  </conditionalFormatting>
  <conditionalFormatting sqref="D15">
    <cfRule type="cellIs" dxfId="97" priority="7602" operator="lessThan">
      <formula>0</formula>
    </cfRule>
  </conditionalFormatting>
  <conditionalFormatting sqref="D15">
    <cfRule type="cellIs" dxfId="96" priority="7604" operator="lessThan">
      <formula>0</formula>
    </cfRule>
  </conditionalFormatting>
  <conditionalFormatting sqref="D37:D38">
    <cfRule type="cellIs" dxfId="95" priority="173" operator="lessThan">
      <formula>0</formula>
    </cfRule>
  </conditionalFormatting>
  <conditionalFormatting sqref="H3">
    <cfRule type="cellIs" dxfId="94" priority="136" operator="lessThan">
      <formula>0</formula>
    </cfRule>
  </conditionalFormatting>
  <conditionalFormatting sqref="F3">
    <cfRule type="cellIs" dxfId="93" priority="138" operator="lessThan">
      <formula>0</formula>
    </cfRule>
  </conditionalFormatting>
  <conditionalFormatting sqref="P3:R3">
    <cfRule type="cellIs" dxfId="92" priority="137" operator="lessThan">
      <formula>0</formula>
    </cfRule>
  </conditionalFormatting>
  <conditionalFormatting sqref="R3">
    <cfRule type="cellIs" dxfId="91" priority="141" operator="lessThan">
      <formula>0</formula>
    </cfRule>
  </conditionalFormatting>
  <conditionalFormatting sqref="Q3">
    <cfRule type="cellIs" dxfId="90" priority="140" operator="lessThan">
      <formula>0</formula>
    </cfRule>
  </conditionalFormatting>
  <conditionalFormatting sqref="O3">
    <cfRule type="cellIs" dxfId="89" priority="139" operator="lessThan">
      <formula>0</formula>
    </cfRule>
  </conditionalFormatting>
  <conditionalFormatting sqref="C35">
    <cfRule type="cellIs" dxfId="88" priority="52" operator="lessThan">
      <formula>0</formula>
    </cfRule>
  </conditionalFormatting>
  <conditionalFormatting sqref="D11">
    <cfRule type="cellIs" dxfId="87" priority="104" operator="lessThan">
      <formula>0</formula>
    </cfRule>
  </conditionalFormatting>
  <conditionalFormatting sqref="B33">
    <cfRule type="cellIs" dxfId="86" priority="53" operator="lessThan">
      <formula>0</formula>
    </cfRule>
  </conditionalFormatting>
  <conditionalFormatting sqref="C29 C25:C26 C10 C7">
    <cfRule type="cellIs" dxfId="85" priority="99" operator="lessThan">
      <formula>0</formula>
    </cfRule>
  </conditionalFormatting>
  <conditionalFormatting sqref="C17">
    <cfRule type="cellIs" dxfId="84" priority="98" operator="lessThan">
      <formula>0</formula>
    </cfRule>
  </conditionalFormatting>
  <conditionalFormatting sqref="C7">
    <cfRule type="cellIs" dxfId="83" priority="97" operator="lessThan">
      <formula>0</formula>
    </cfRule>
  </conditionalFormatting>
  <conditionalFormatting sqref="B29 B25:B26 B10 B7">
    <cfRule type="cellIs" dxfId="82" priority="96" operator="lessThan">
      <formula>0</formula>
    </cfRule>
  </conditionalFormatting>
  <conditionalFormatting sqref="B6:B7">
    <cfRule type="cellIs" dxfId="81" priority="94" operator="lessThan">
      <formula>0</formula>
    </cfRule>
  </conditionalFormatting>
  <conditionalFormatting sqref="C6">
    <cfRule type="cellIs" dxfId="80" priority="93" operator="lessThan">
      <formula>0</formula>
    </cfRule>
  </conditionalFormatting>
  <conditionalFormatting sqref="C9">
    <cfRule type="cellIs" dxfId="79" priority="92" operator="lessThan">
      <formula>0</formula>
    </cfRule>
  </conditionalFormatting>
  <conditionalFormatting sqref="B9">
    <cfRule type="cellIs" dxfId="78" priority="91" operator="lessThan">
      <formula>0</formula>
    </cfRule>
  </conditionalFormatting>
  <conditionalFormatting sqref="C10">
    <cfRule type="cellIs" dxfId="77" priority="90" operator="lessThan">
      <formula>0</formula>
    </cfRule>
  </conditionalFormatting>
  <conditionalFormatting sqref="B10">
    <cfRule type="cellIs" dxfId="76" priority="89" operator="lessThan">
      <formula>0</formula>
    </cfRule>
  </conditionalFormatting>
  <conditionalFormatting sqref="C11">
    <cfRule type="cellIs" dxfId="75" priority="88" operator="lessThan">
      <formula>0</formula>
    </cfRule>
  </conditionalFormatting>
  <conditionalFormatting sqref="B11">
    <cfRule type="cellIs" dxfId="74" priority="86" operator="lessThan">
      <formula>0</formula>
    </cfRule>
  </conditionalFormatting>
  <conditionalFormatting sqref="B11">
    <cfRule type="cellIs" dxfId="73" priority="85" operator="lessThan">
      <formula>0</formula>
    </cfRule>
  </conditionalFormatting>
  <conditionalFormatting sqref="C11">
    <cfRule type="cellIs" dxfId="72" priority="87" operator="lessThan">
      <formula>0</formula>
    </cfRule>
  </conditionalFormatting>
  <conditionalFormatting sqref="C12">
    <cfRule type="cellIs" dxfId="71" priority="84" operator="lessThan">
      <formula>0</formula>
    </cfRule>
  </conditionalFormatting>
  <conditionalFormatting sqref="C12">
    <cfRule type="cellIs" dxfId="70" priority="83" operator="lessThan">
      <formula>0</formula>
    </cfRule>
  </conditionalFormatting>
  <conditionalFormatting sqref="B12">
    <cfRule type="cellIs" dxfId="69" priority="82" operator="lessThan">
      <formula>0</formula>
    </cfRule>
  </conditionalFormatting>
  <conditionalFormatting sqref="B12">
    <cfRule type="cellIs" dxfId="68" priority="81" operator="lessThan">
      <formula>0</formula>
    </cfRule>
  </conditionalFormatting>
  <conditionalFormatting sqref="C14">
    <cfRule type="cellIs" dxfId="67" priority="80" operator="lessThan">
      <formula>0</formula>
    </cfRule>
  </conditionalFormatting>
  <conditionalFormatting sqref="B14">
    <cfRule type="cellIs" dxfId="66" priority="79" operator="lessThan">
      <formula>0</formula>
    </cfRule>
  </conditionalFormatting>
  <conditionalFormatting sqref="C20">
    <cfRule type="cellIs" dxfId="65" priority="78" operator="lessThan">
      <formula>0</formula>
    </cfRule>
  </conditionalFormatting>
  <conditionalFormatting sqref="C15">
    <cfRule type="cellIs" dxfId="64" priority="77" operator="lessThan">
      <formula>0</formula>
    </cfRule>
  </conditionalFormatting>
  <conditionalFormatting sqref="C15">
    <cfRule type="cellIs" dxfId="63" priority="76" operator="lessThan">
      <formula>0</formula>
    </cfRule>
  </conditionalFormatting>
  <conditionalFormatting sqref="B20">
    <cfRule type="cellIs" dxfId="62" priority="75" operator="lessThan">
      <formula>0</formula>
    </cfRule>
  </conditionalFormatting>
  <conditionalFormatting sqref="B15">
    <cfRule type="cellIs" dxfId="61" priority="74" operator="lessThan">
      <formula>0</formula>
    </cfRule>
  </conditionalFormatting>
  <conditionalFormatting sqref="B15">
    <cfRule type="cellIs" dxfId="60" priority="73" operator="lessThan">
      <formula>0</formula>
    </cfRule>
  </conditionalFormatting>
  <conditionalFormatting sqref="C21:C22">
    <cfRule type="cellIs" dxfId="59" priority="72" operator="lessThan">
      <formula>0</formula>
    </cfRule>
  </conditionalFormatting>
  <conditionalFormatting sqref="C21:C22">
    <cfRule type="cellIs" dxfId="58" priority="71" operator="lessThan">
      <formula>0</formula>
    </cfRule>
  </conditionalFormatting>
  <conditionalFormatting sqref="B21:B22">
    <cfRule type="cellIs" dxfId="57" priority="70" operator="lessThan">
      <formula>0</formula>
    </cfRule>
  </conditionalFormatting>
  <conditionalFormatting sqref="B21:B22">
    <cfRule type="cellIs" dxfId="56" priority="69" operator="lessThan">
      <formula>0</formula>
    </cfRule>
  </conditionalFormatting>
  <conditionalFormatting sqref="C27">
    <cfRule type="cellIs" dxfId="55" priority="68" operator="lessThan">
      <formula>0</formula>
    </cfRule>
  </conditionalFormatting>
  <conditionalFormatting sqref="B27">
    <cfRule type="cellIs" dxfId="54" priority="67" operator="lessThan">
      <formula>0</formula>
    </cfRule>
  </conditionalFormatting>
  <conditionalFormatting sqref="C28">
    <cfRule type="cellIs" dxfId="53" priority="66" operator="lessThan">
      <formula>0</formula>
    </cfRule>
  </conditionalFormatting>
  <conditionalFormatting sqref="B28">
    <cfRule type="cellIs" dxfId="52" priority="65" operator="lessThan">
      <formula>0</formula>
    </cfRule>
  </conditionalFormatting>
  <conditionalFormatting sqref="C31">
    <cfRule type="cellIs" dxfId="51" priority="62" operator="lessThan">
      <formula>0</formula>
    </cfRule>
  </conditionalFormatting>
  <conditionalFormatting sqref="C30">
    <cfRule type="cellIs" dxfId="50" priority="61" operator="lessThan">
      <formula>0</formula>
    </cfRule>
  </conditionalFormatting>
  <conditionalFormatting sqref="B31">
    <cfRule type="cellIs" dxfId="49" priority="60" operator="lessThan">
      <formula>0</formula>
    </cfRule>
  </conditionalFormatting>
  <conditionalFormatting sqref="B30">
    <cfRule type="cellIs" dxfId="48" priority="59" operator="lessThan">
      <formula>0</formula>
    </cfRule>
  </conditionalFormatting>
  <conditionalFormatting sqref="C32">
    <cfRule type="cellIs" dxfId="47" priority="58" operator="lessThan">
      <formula>0</formula>
    </cfRule>
  </conditionalFormatting>
  <conditionalFormatting sqref="C32">
    <cfRule type="cellIs" dxfId="46" priority="57" operator="lessThan">
      <formula>0</formula>
    </cfRule>
  </conditionalFormatting>
  <conditionalFormatting sqref="B32">
    <cfRule type="cellIs" dxfId="45" priority="56" operator="lessThan">
      <formula>0</formula>
    </cfRule>
  </conditionalFormatting>
  <conditionalFormatting sqref="B32">
    <cfRule type="cellIs" dxfId="44" priority="55" operator="lessThan">
      <formula>0</formula>
    </cfRule>
  </conditionalFormatting>
  <conditionalFormatting sqref="C33">
    <cfRule type="cellIs" dxfId="43" priority="54" operator="lessThan">
      <formula>0</formula>
    </cfRule>
  </conditionalFormatting>
  <conditionalFormatting sqref="C34">
    <cfRule type="cellIs" dxfId="42" priority="51" operator="lessThan">
      <formula>0</formula>
    </cfRule>
  </conditionalFormatting>
  <conditionalFormatting sqref="B35">
    <cfRule type="cellIs" dxfId="41" priority="50" operator="lessThan">
      <formula>0</formula>
    </cfRule>
  </conditionalFormatting>
  <conditionalFormatting sqref="B34">
    <cfRule type="cellIs" dxfId="40" priority="49" operator="lessThan">
      <formula>0</formula>
    </cfRule>
  </conditionalFormatting>
  <conditionalFormatting sqref="C37:C38">
    <cfRule type="cellIs" dxfId="39" priority="48" operator="lessThan">
      <formula>0</formula>
    </cfRule>
  </conditionalFormatting>
  <conditionalFormatting sqref="C36">
    <cfRule type="cellIs" dxfId="38" priority="47" operator="lessThan">
      <formula>0</formula>
    </cfRule>
  </conditionalFormatting>
  <conditionalFormatting sqref="B37:B38">
    <cfRule type="cellIs" dxfId="37" priority="45" operator="lessThan">
      <formula>0</formula>
    </cfRule>
  </conditionalFormatting>
  <conditionalFormatting sqref="B36">
    <cfRule type="cellIs" dxfId="36" priority="44" operator="lessThan">
      <formula>0</formula>
    </cfRule>
  </conditionalFormatting>
  <conditionalFormatting sqref="K41:N41">
    <cfRule type="cellIs" dxfId="35" priority="38" operator="lessThan">
      <formula>0</formula>
    </cfRule>
  </conditionalFormatting>
  <conditionalFormatting sqref="M3">
    <cfRule type="cellIs" dxfId="34" priority="30" operator="lessThan">
      <formula>0</formula>
    </cfRule>
  </conditionalFormatting>
  <conditionalFormatting sqref="K3">
    <cfRule type="cellIs" dxfId="33" priority="32" operator="lessThan">
      <formula>0</formula>
    </cfRule>
  </conditionalFormatting>
  <conditionalFormatting sqref="N3">
    <cfRule type="cellIs" dxfId="32" priority="31" operator="lessThan">
      <formula>0</formula>
    </cfRule>
  </conditionalFormatting>
  <conditionalFormatting sqref="L3">
    <cfRule type="cellIs" dxfId="31" priority="33" operator="lessThan">
      <formula>0</formula>
    </cfRule>
  </conditionalFormatting>
  <conditionalFormatting sqref="S41:T41">
    <cfRule type="cellIs" dxfId="30" priority="29" operator="lessThan">
      <formula>0</formula>
    </cfRule>
  </conditionalFormatting>
  <conditionalFormatting sqref="S3:T3">
    <cfRule type="cellIs" dxfId="29" priority="26" operator="lessThan">
      <formula>0</formula>
    </cfRule>
  </conditionalFormatting>
  <conditionalFormatting sqref="T3">
    <cfRule type="cellIs" dxfId="28" priority="28" operator="lessThan">
      <formula>0</formula>
    </cfRule>
  </conditionalFormatting>
  <conditionalFormatting sqref="S3">
    <cfRule type="cellIs" dxfId="27" priority="27" operator="lessThan">
      <formula>0</formula>
    </cfRule>
  </conditionalFormatting>
  <conditionalFormatting sqref="D39">
    <cfRule type="cellIs" dxfId="26" priority="25" operator="lessThan">
      <formula>0</formula>
    </cfRule>
  </conditionalFormatting>
  <conditionalFormatting sqref="C39">
    <cfRule type="cellIs" dxfId="25" priority="24" operator="lessThan">
      <formula>0</formula>
    </cfRule>
  </conditionalFormatting>
  <conditionalFormatting sqref="B39">
    <cfRule type="cellIs" dxfId="24" priority="23" operator="lessThan">
      <formula>0</formula>
    </cfRule>
  </conditionalFormatting>
  <conditionalFormatting sqref="J41">
    <cfRule type="cellIs" dxfId="23" priority="22" operator="lessThan">
      <formula>0</formula>
    </cfRule>
  </conditionalFormatting>
  <conditionalFormatting sqref="J3">
    <cfRule type="cellIs" dxfId="22" priority="19" operator="lessThan">
      <formula>0</formula>
    </cfRule>
  </conditionalFormatting>
  <conditionalFormatting sqref="J3">
    <cfRule type="cellIs" dxfId="21" priority="20" operator="lessThan">
      <formula>0</formula>
    </cfRule>
  </conditionalFormatting>
  <conditionalFormatting sqref="C13">
    <cfRule type="cellIs" dxfId="20" priority="18" operator="lessThan">
      <formula>0</formula>
    </cfRule>
  </conditionalFormatting>
  <conditionalFormatting sqref="B13">
    <cfRule type="cellIs" dxfId="19" priority="17" operator="lessThan">
      <formula>0</formula>
    </cfRule>
  </conditionalFormatting>
  <conditionalFormatting sqref="I3">
    <cfRule type="cellIs" dxfId="18" priority="8" operator="lessThan">
      <formula>0</formula>
    </cfRule>
  </conditionalFormatting>
  <conditionalFormatting sqref="I3">
    <cfRule type="cellIs" dxfId="17" priority="9" operator="lessThan">
      <formula>0</formula>
    </cfRule>
  </conditionalFormatting>
  <conditionalFormatting sqref="I41">
    <cfRule type="cellIs" dxfId="16" priority="11" operator="lessThan">
      <formula>0</formula>
    </cfRule>
  </conditionalFormatting>
  <conditionalFormatting sqref="E3:F3">
    <cfRule type="cellIs" dxfId="15" priority="4" operator="lessThan">
      <formula>0</formula>
    </cfRule>
  </conditionalFormatting>
  <conditionalFormatting sqref="E3:F3">
    <cfRule type="cellIs" dxfId="14" priority="5" operator="lessThan">
      <formula>0</formula>
    </cfRule>
  </conditionalFormatting>
  <conditionalFormatting sqref="E41:F41">
    <cfRule type="cellIs" dxfId="13" priority="7" operator="lessThan">
      <formula>0</formula>
    </cfRule>
  </conditionalFormatting>
  <conditionalFormatting sqref="G3:H3">
    <cfRule type="cellIs" dxfId="12" priority="1" operator="lessThan">
      <formula>0</formula>
    </cfRule>
  </conditionalFormatting>
  <conditionalFormatting sqref="G3:H3">
    <cfRule type="cellIs" dxfId="11" priority="2" operator="lessThan">
      <formula>0</formula>
    </cfRule>
  </conditionalFormatting>
  <conditionalFormatting sqref="G41:H41">
    <cfRule type="cellIs" dxfId="10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J8:N8 K24:N24 J25:N25 J16:N16 R8:S8 R16:S16 R18:S18 R19:S19 R23:S23 R24:S24 R30:S30 R25:S25 R34:S34 Q34 Q5 Q30 Q23 Q25 Q24 Q16 Q8 J18:N19 Q18:Q19 J23:N23 J30:N30 J34:N34 J36:N36 Q36 R36:S36 O8 O24 O25 O16 O18:O19 O23 O30 O34 O36 P8 P24 P25 P16 P18:P19 P23 P30 P34 P36" formula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31">
    <tabColor rgb="FFFF0000"/>
  </sheetPr>
  <dimension ref="B1:BQ23"/>
  <sheetViews>
    <sheetView showGridLines="0" zoomScale="90" zoomScaleNormal="90" workbookViewId="0">
      <selection activeCell="B3" sqref="B3:Q8"/>
    </sheetView>
  </sheetViews>
  <sheetFormatPr defaultRowHeight="12" outlineLevelRow="1" outlineLevelCol="1"/>
  <cols>
    <col min="1" max="1" width="1.7109375" style="295" customWidth="1"/>
    <col min="2" max="2" width="16.42578125" style="295" customWidth="1"/>
    <col min="3" max="3" width="11.42578125" style="295" customWidth="1"/>
    <col min="4" max="4" width="17" style="295" customWidth="1"/>
    <col min="5" max="5" width="14.28515625" style="295" customWidth="1"/>
    <col min="6" max="6" width="10.85546875" style="295" customWidth="1"/>
    <col min="7" max="7" width="12.5703125" style="295" customWidth="1"/>
    <col min="8" max="8" width="12.7109375" style="295" hidden="1" customWidth="1" outlineLevel="1"/>
    <col min="9" max="9" width="16.28515625" style="295" hidden="1" customWidth="1" outlineLevel="1"/>
    <col min="10" max="10" width="16.140625" style="295" hidden="1" customWidth="1" outlineLevel="1"/>
    <col min="11" max="11" width="11.5703125" style="295" hidden="1" customWidth="1" outlineLevel="1"/>
    <col min="12" max="12" width="12.5703125" style="295" hidden="1" customWidth="1" outlineLevel="1"/>
    <col min="13" max="13" width="11.85546875" style="295" bestFit="1" customWidth="1" collapsed="1"/>
    <col min="14" max="14" width="13.85546875" style="295" bestFit="1" customWidth="1"/>
    <col min="15" max="15" width="14.140625" style="295" customWidth="1"/>
    <col min="16" max="16" width="9.5703125" style="295" customWidth="1"/>
    <col min="17" max="17" width="9" style="295" bestFit="1" customWidth="1"/>
    <col min="18" max="18" width="12.7109375" style="295" hidden="1" customWidth="1" outlineLevel="1"/>
    <col min="19" max="19" width="16.28515625" style="295" hidden="1" customWidth="1" outlineLevel="1"/>
    <col min="20" max="20" width="16.140625" style="295" hidden="1" customWidth="1" outlineLevel="1"/>
    <col min="21" max="21" width="12.7109375" style="295" hidden="1" customWidth="1" outlineLevel="1"/>
    <col min="22" max="22" width="12.5703125" style="295" hidden="1" customWidth="1" outlineLevel="1"/>
    <col min="23" max="23" width="12.7109375" style="295" hidden="1" customWidth="1" outlineLevel="1"/>
    <col min="24" max="24" width="16.28515625" style="295" hidden="1" customWidth="1" outlineLevel="1"/>
    <col min="25" max="25" width="16.140625" style="295" hidden="1" customWidth="1" outlineLevel="1"/>
    <col min="26" max="26" width="12.7109375" style="295" hidden="1" customWidth="1" outlineLevel="1"/>
    <col min="27" max="27" width="12.5703125" style="295" hidden="1" customWidth="1" outlineLevel="1"/>
    <col min="28" max="28" width="12.7109375" style="295" hidden="1" customWidth="1" outlineLevel="1"/>
    <col min="29" max="29" width="16.28515625" style="295" hidden="1" customWidth="1" outlineLevel="1"/>
    <col min="30" max="30" width="16.140625" style="295" hidden="1" customWidth="1" outlineLevel="1"/>
    <col min="31" max="33" width="12.7109375" style="295" hidden="1" customWidth="1" outlineLevel="1"/>
    <col min="34" max="34" width="16.28515625" style="295" hidden="1" customWidth="1" outlineLevel="1"/>
    <col min="35" max="35" width="16.140625" style="295" hidden="1" customWidth="1" outlineLevel="1"/>
    <col min="36" max="36" width="12" style="295" hidden="1" customWidth="1" outlineLevel="1"/>
    <col min="37" max="38" width="12.7109375" style="295" hidden="1" customWidth="1" outlineLevel="1"/>
    <col min="39" max="39" width="16.28515625" style="295" hidden="1" customWidth="1" outlineLevel="1"/>
    <col min="40" max="40" width="16.140625" style="295" hidden="1" customWidth="1" outlineLevel="1"/>
    <col min="41" max="43" width="12.7109375" style="295" hidden="1" customWidth="1" outlineLevel="1"/>
    <col min="44" max="44" width="16.28515625" style="295" hidden="1" customWidth="1" outlineLevel="1"/>
    <col min="45" max="45" width="16.140625" style="295" hidden="1" customWidth="1" outlineLevel="1"/>
    <col min="46" max="48" width="12.7109375" style="295" hidden="1" customWidth="1" outlineLevel="1"/>
    <col min="49" max="49" width="16.28515625" style="295" hidden="1" customWidth="1" outlineLevel="1"/>
    <col min="50" max="50" width="16.140625" style="295" hidden="1" customWidth="1" outlineLevel="1"/>
    <col min="51" max="53" width="12.7109375" style="295" hidden="1" customWidth="1" outlineLevel="1"/>
    <col min="54" max="54" width="16.28515625" style="295" hidden="1" customWidth="1" outlineLevel="1"/>
    <col min="55" max="55" width="16.140625" style="295" hidden="1" customWidth="1" outlineLevel="1"/>
    <col min="56" max="57" width="12.7109375" style="295" hidden="1" customWidth="1" outlineLevel="1"/>
    <col min="58" max="58" width="10.7109375" style="295" hidden="1" customWidth="1" outlineLevel="1"/>
    <col min="59" max="59" width="16.28515625" style="295" hidden="1" customWidth="1" outlineLevel="1"/>
    <col min="60" max="60" width="16.140625" style="295" hidden="1" customWidth="1" outlineLevel="1"/>
    <col min="61" max="61" width="10.7109375" style="295" hidden="1" customWidth="1" outlineLevel="1"/>
    <col min="62" max="62" width="13.28515625" style="295" hidden="1" customWidth="1" outlineLevel="1"/>
    <col min="63" max="63" width="16.28515625" style="295" hidden="1" customWidth="1" outlineLevel="1"/>
    <col min="64" max="64" width="13.28515625" style="295" hidden="1" customWidth="1" outlineLevel="1"/>
    <col min="65" max="65" width="10.7109375" style="295" hidden="1" customWidth="1" outlineLevel="1"/>
    <col min="66" max="66" width="13.85546875" style="295" customWidth="1" collapsed="1"/>
    <col min="67" max="74" width="5.42578125" style="295" customWidth="1"/>
    <col min="75" max="16384" width="9.140625" style="295"/>
  </cols>
  <sheetData>
    <row r="1" spans="2:69" s="234" customFormat="1"/>
    <row r="2" spans="2:69" s="297" customFormat="1">
      <c r="B2" s="297" t="s">
        <v>602</v>
      </c>
      <c r="C2" s="319">
        <v>44012</v>
      </c>
      <c r="D2" s="418"/>
      <c r="E2" s="418"/>
      <c r="F2" s="418"/>
      <c r="G2" s="418"/>
      <c r="H2" s="319">
        <v>43921</v>
      </c>
      <c r="I2" s="407"/>
      <c r="J2" s="407"/>
      <c r="K2" s="407"/>
      <c r="L2" s="407"/>
      <c r="M2" s="319">
        <v>43830</v>
      </c>
      <c r="N2" s="385"/>
      <c r="O2" s="385"/>
      <c r="P2" s="385"/>
      <c r="Q2" s="385"/>
      <c r="R2" s="319">
        <v>43738</v>
      </c>
      <c r="S2" s="413"/>
      <c r="T2" s="413"/>
      <c r="U2" s="413"/>
      <c r="V2" s="413"/>
      <c r="W2" s="319">
        <v>43644</v>
      </c>
      <c r="X2" s="413"/>
      <c r="Y2" s="413"/>
      <c r="Z2" s="413"/>
      <c r="AA2" s="413"/>
      <c r="AB2" s="319">
        <v>43553</v>
      </c>
      <c r="AC2" s="413"/>
      <c r="AD2" s="413"/>
      <c r="AE2" s="413"/>
      <c r="AF2" s="413"/>
      <c r="AG2" s="319">
        <v>43465</v>
      </c>
      <c r="AH2" s="413"/>
      <c r="AI2" s="413"/>
      <c r="AJ2" s="413"/>
      <c r="AK2" s="413"/>
      <c r="AL2" s="319"/>
      <c r="AM2" s="413"/>
      <c r="AN2" s="413"/>
      <c r="AO2" s="413"/>
      <c r="AP2" s="413"/>
      <c r="AQ2" s="319"/>
      <c r="AR2" s="413"/>
      <c r="AS2" s="413"/>
      <c r="AT2" s="413"/>
      <c r="AU2" s="413"/>
      <c r="AV2" s="319"/>
      <c r="AW2" s="413"/>
      <c r="AX2" s="413"/>
      <c r="AY2" s="413"/>
      <c r="AZ2" s="413"/>
      <c r="BA2" s="319"/>
      <c r="BB2" s="413"/>
      <c r="BC2" s="413"/>
      <c r="BD2" s="413"/>
      <c r="BE2" s="413"/>
      <c r="BF2" s="319"/>
      <c r="BG2" s="413"/>
      <c r="BH2" s="413"/>
      <c r="BI2" s="413"/>
      <c r="BJ2" s="319"/>
      <c r="BL2" s="413"/>
      <c r="BM2" s="413"/>
    </row>
    <row r="3" spans="2:69" s="296" customFormat="1" ht="30" customHeight="1">
      <c r="B3" s="502" t="s">
        <v>1274</v>
      </c>
      <c r="C3" s="499">
        <v>44012</v>
      </c>
      <c r="D3" s="500"/>
      <c r="E3" s="500"/>
      <c r="F3" s="500"/>
      <c r="G3" s="501"/>
      <c r="H3" s="499">
        <v>43921</v>
      </c>
      <c r="I3" s="500"/>
      <c r="J3" s="500"/>
      <c r="K3" s="500"/>
      <c r="L3" s="501"/>
      <c r="M3" s="499">
        <v>43830</v>
      </c>
      <c r="N3" s="500"/>
      <c r="O3" s="500"/>
      <c r="P3" s="500"/>
      <c r="Q3" s="501"/>
      <c r="R3" s="499">
        <v>43738</v>
      </c>
      <c r="S3" s="500"/>
      <c r="T3" s="500"/>
      <c r="U3" s="500"/>
      <c r="V3" s="501"/>
      <c r="W3" s="499">
        <v>43646</v>
      </c>
      <c r="X3" s="500"/>
      <c r="Y3" s="500"/>
      <c r="Z3" s="500"/>
      <c r="AA3" s="501"/>
      <c r="AB3" s="499">
        <v>43555</v>
      </c>
      <c r="AC3" s="500"/>
      <c r="AD3" s="500"/>
      <c r="AE3" s="500"/>
      <c r="AF3" s="501"/>
      <c r="AG3" s="499">
        <v>43465</v>
      </c>
      <c r="AH3" s="500"/>
      <c r="AI3" s="500"/>
      <c r="AJ3" s="500"/>
      <c r="AK3" s="501"/>
      <c r="AL3" s="507">
        <v>43373</v>
      </c>
      <c r="AM3" s="505"/>
      <c r="AN3" s="505"/>
      <c r="AO3" s="505"/>
      <c r="AP3" s="506"/>
      <c r="AQ3" s="507">
        <v>43281</v>
      </c>
      <c r="AR3" s="505"/>
      <c r="AS3" s="505"/>
      <c r="AT3" s="505"/>
      <c r="AU3" s="506"/>
      <c r="AV3" s="507">
        <v>43190</v>
      </c>
      <c r="AW3" s="505"/>
      <c r="AX3" s="505"/>
      <c r="AY3" s="505"/>
      <c r="AZ3" s="506"/>
      <c r="BA3" s="507">
        <v>43100</v>
      </c>
      <c r="BB3" s="505"/>
      <c r="BC3" s="505"/>
      <c r="BD3" s="505"/>
      <c r="BE3" s="506"/>
      <c r="BF3" s="504">
        <v>2015</v>
      </c>
      <c r="BG3" s="505"/>
      <c r="BH3" s="505"/>
      <c r="BI3" s="506"/>
      <c r="BJ3" s="505">
        <v>2014</v>
      </c>
      <c r="BK3" s="505"/>
      <c r="BL3" s="505"/>
      <c r="BM3" s="505"/>
    </row>
    <row r="4" spans="2:69" s="296" customFormat="1" ht="30" customHeight="1">
      <c r="B4" s="503"/>
      <c r="C4" s="388" t="s">
        <v>615</v>
      </c>
      <c r="D4" s="398" t="s">
        <v>1357</v>
      </c>
      <c r="E4" s="389" t="s">
        <v>1318</v>
      </c>
      <c r="F4" s="389" t="s">
        <v>616</v>
      </c>
      <c r="G4" s="390" t="s">
        <v>1222</v>
      </c>
      <c r="H4" s="388" t="s">
        <v>615</v>
      </c>
      <c r="I4" s="389" t="s">
        <v>253</v>
      </c>
      <c r="J4" s="398" t="s">
        <v>1343</v>
      </c>
      <c r="K4" s="389" t="s">
        <v>616</v>
      </c>
      <c r="L4" s="390" t="s">
        <v>1222</v>
      </c>
      <c r="M4" s="388" t="s">
        <v>615</v>
      </c>
      <c r="N4" s="398" t="s">
        <v>1273</v>
      </c>
      <c r="O4" s="389" t="s">
        <v>253</v>
      </c>
      <c r="P4" s="389" t="s">
        <v>616</v>
      </c>
      <c r="Q4" s="390" t="s">
        <v>1222</v>
      </c>
      <c r="R4" s="388" t="s">
        <v>615</v>
      </c>
      <c r="S4" s="389" t="s">
        <v>253</v>
      </c>
      <c r="T4" s="398" t="s">
        <v>1273</v>
      </c>
      <c r="U4" s="389" t="s">
        <v>616</v>
      </c>
      <c r="V4" s="390" t="s">
        <v>1222</v>
      </c>
      <c r="W4" s="388" t="s">
        <v>615</v>
      </c>
      <c r="X4" s="389" t="s">
        <v>253</v>
      </c>
      <c r="Y4" s="398" t="s">
        <v>1273</v>
      </c>
      <c r="Z4" s="389" t="s">
        <v>616</v>
      </c>
      <c r="AA4" s="390" t="s">
        <v>1222</v>
      </c>
      <c r="AB4" s="388" t="s">
        <v>615</v>
      </c>
      <c r="AC4" s="389" t="s">
        <v>253</v>
      </c>
      <c r="AD4" s="398" t="s">
        <v>1273</v>
      </c>
      <c r="AE4" s="389" t="s">
        <v>616</v>
      </c>
      <c r="AF4" s="390" t="s">
        <v>1222</v>
      </c>
      <c r="AG4" s="388" t="s">
        <v>615</v>
      </c>
      <c r="AH4" s="389" t="s">
        <v>253</v>
      </c>
      <c r="AI4" s="398" t="s">
        <v>1273</v>
      </c>
      <c r="AJ4" s="389" t="s">
        <v>616</v>
      </c>
      <c r="AK4" s="389" t="s">
        <v>1222</v>
      </c>
      <c r="AL4" s="377" t="s">
        <v>615</v>
      </c>
      <c r="AM4" s="301" t="s">
        <v>253</v>
      </c>
      <c r="AN4" s="382" t="s">
        <v>1273</v>
      </c>
      <c r="AO4" s="301" t="s">
        <v>616</v>
      </c>
      <c r="AP4" s="379" t="s">
        <v>1222</v>
      </c>
      <c r="AQ4" s="378" t="s">
        <v>615</v>
      </c>
      <c r="AR4" s="301" t="s">
        <v>253</v>
      </c>
      <c r="AS4" s="382" t="s">
        <v>1273</v>
      </c>
      <c r="AT4" s="301" t="s">
        <v>616</v>
      </c>
      <c r="AU4" s="379" t="s">
        <v>1222</v>
      </c>
      <c r="AV4" s="378" t="s">
        <v>615</v>
      </c>
      <c r="AW4" s="301" t="s">
        <v>253</v>
      </c>
      <c r="AX4" s="382" t="s">
        <v>1273</v>
      </c>
      <c r="AY4" s="301" t="s">
        <v>616</v>
      </c>
      <c r="AZ4" s="379" t="s">
        <v>1222</v>
      </c>
      <c r="BA4" s="378" t="s">
        <v>615</v>
      </c>
      <c r="BB4" s="301" t="s">
        <v>253</v>
      </c>
      <c r="BC4" s="382" t="s">
        <v>1273</v>
      </c>
      <c r="BD4" s="301" t="s">
        <v>616</v>
      </c>
      <c r="BE4" s="379" t="s">
        <v>1222</v>
      </c>
      <c r="BF4" s="383" t="s">
        <v>615</v>
      </c>
      <c r="BG4" s="326" t="s">
        <v>253</v>
      </c>
      <c r="BH4" s="326" t="s">
        <v>616</v>
      </c>
      <c r="BI4" s="384" t="s">
        <v>741</v>
      </c>
      <c r="BJ4" s="383" t="s">
        <v>615</v>
      </c>
      <c r="BK4" s="326" t="s">
        <v>253</v>
      </c>
      <c r="BL4" s="326" t="s">
        <v>616</v>
      </c>
      <c r="BM4" s="384" t="s">
        <v>741</v>
      </c>
    </row>
    <row r="5" spans="2:69" s="296" customFormat="1" ht="18" customHeight="1">
      <c r="B5" s="391" t="s">
        <v>254</v>
      </c>
      <c r="C5" s="392">
        <f>ROUND($P5,-3)</f>
        <v>8997000</v>
      </c>
      <c r="D5" s="392">
        <f>($C5/$C$8)*D$8</f>
        <v>4535628.7763237255</v>
      </c>
      <c r="E5" s="392">
        <f>-(299881.48+328604.16+358613.13+429819.4)-($C5/$C$8)*14110200</f>
        <v>-13532729.336253101</v>
      </c>
      <c r="F5" s="458">
        <f>ROUND(C5+E5+D5,-3)</f>
        <v>0</v>
      </c>
      <c r="G5" s="393">
        <v>120</v>
      </c>
      <c r="H5" s="392">
        <f>ROUND($P5,-3)</f>
        <v>8997000</v>
      </c>
      <c r="I5" s="392">
        <f>ROUND(-987098.77,-3)</f>
        <v>-987000</v>
      </c>
      <c r="J5" s="392">
        <f>SUM(J23:L23)</f>
        <v>0</v>
      </c>
      <c r="K5" s="392">
        <f>H5+I5+J5</f>
        <v>8010000</v>
      </c>
      <c r="L5" s="393">
        <v>120</v>
      </c>
      <c r="M5" s="392">
        <f>ROUND($AJ5,-3)</f>
        <v>46940000</v>
      </c>
      <c r="N5" s="392">
        <f>ROUND(-28572887.22*(M5/(M$5+M$6)),-3)</f>
        <v>-24532000</v>
      </c>
      <c r="O5" s="392">
        <f>ROUND(-1117620.27*12,-3)</f>
        <v>-13411000</v>
      </c>
      <c r="P5" s="392">
        <f>M5+O5+N5</f>
        <v>8997000</v>
      </c>
      <c r="Q5" s="393">
        <v>120</v>
      </c>
      <c r="R5" s="392">
        <f>$AJ5</f>
        <v>46940000</v>
      </c>
      <c r="S5" s="392">
        <f>-1117620.27*9</f>
        <v>-10058582.43</v>
      </c>
      <c r="T5" s="392">
        <v>0</v>
      </c>
      <c r="U5" s="392">
        <f>R5+S5+T5</f>
        <v>36881417.57</v>
      </c>
      <c r="V5" s="393">
        <v>120</v>
      </c>
      <c r="W5" s="392">
        <f>$AJ5</f>
        <v>46940000</v>
      </c>
      <c r="X5" s="392">
        <f>-1117620.27*6</f>
        <v>-6705721.6200000001</v>
      </c>
      <c r="Y5" s="392">
        <v>0</v>
      </c>
      <c r="Z5" s="392">
        <f>W5+X5+Y5</f>
        <v>40234278.380000003</v>
      </c>
      <c r="AA5" s="393">
        <v>120</v>
      </c>
      <c r="AB5" s="392">
        <f>$AJ5</f>
        <v>46940000</v>
      </c>
      <c r="AC5" s="392">
        <f>-1117620.27*3</f>
        <v>-3352860.81</v>
      </c>
      <c r="AD5" s="392">
        <v>0</v>
      </c>
      <c r="AE5" s="392">
        <f>AB5+AC5+AD5</f>
        <v>43587139.189999998</v>
      </c>
      <c r="AF5" s="393">
        <v>120</v>
      </c>
      <c r="AG5" s="392">
        <f>ROUND($BD5,-3)+1000</f>
        <v>73574000</v>
      </c>
      <c r="AH5" s="392">
        <f>ROUND(-1362468.17*12,-3)</f>
        <v>-16350000</v>
      </c>
      <c r="AI5" s="392">
        <f>ROUND(-11977437.98*(AG5/(AG$5+AG$6)),-3)</f>
        <v>-10284000</v>
      </c>
      <c r="AJ5" s="392">
        <f>AG5+AH5+AI5</f>
        <v>46940000</v>
      </c>
      <c r="AK5" s="393">
        <v>120</v>
      </c>
      <c r="AL5" s="300">
        <f>$BD5</f>
        <v>73573281</v>
      </c>
      <c r="AM5" s="300">
        <f>-1362468.17*9</f>
        <v>-12262213.529999999</v>
      </c>
      <c r="AN5" s="300">
        <v>0</v>
      </c>
      <c r="AO5" s="300">
        <f>AL5+AM5+AN5</f>
        <v>61311067.469999999</v>
      </c>
      <c r="AP5" s="308">
        <v>120</v>
      </c>
      <c r="AQ5" s="300">
        <f>$BD5</f>
        <v>73573281</v>
      </c>
      <c r="AR5" s="300">
        <f>-1362468.17*6</f>
        <v>-8174809.0199999996</v>
      </c>
      <c r="AS5" s="300">
        <v>0</v>
      </c>
      <c r="AT5" s="300">
        <f>AQ5+AR5+AS5</f>
        <v>65398471.980000004</v>
      </c>
      <c r="AU5" s="308">
        <v>120</v>
      </c>
      <c r="AV5" s="300">
        <f>$BD5</f>
        <v>73573281</v>
      </c>
      <c r="AW5" s="300">
        <f>-1362468.17*3</f>
        <v>-4087404.51</v>
      </c>
      <c r="AX5" s="300">
        <v>0</v>
      </c>
      <c r="AY5" s="300">
        <f>AV5+AW5+AX5</f>
        <v>69485876.489999995</v>
      </c>
      <c r="AZ5" s="308">
        <v>120</v>
      </c>
      <c r="BA5" s="300">
        <v>89922899</v>
      </c>
      <c r="BB5" s="300">
        <v>-16349618</v>
      </c>
      <c r="BC5" s="300">
        <v>0</v>
      </c>
      <c r="BD5" s="300">
        <f>BA5+BB5+BC5</f>
        <v>73573281</v>
      </c>
      <c r="BE5" s="308">
        <v>120</v>
      </c>
      <c r="BF5" s="310">
        <f>BL5</f>
        <v>122623</v>
      </c>
      <c r="BG5" s="310">
        <v>-16349</v>
      </c>
      <c r="BH5" s="310">
        <f>BF5+BG5</f>
        <v>106274</v>
      </c>
      <c r="BI5" s="310">
        <v>120</v>
      </c>
      <c r="BJ5" s="310">
        <v>138972</v>
      </c>
      <c r="BK5" s="310">
        <v>-16349</v>
      </c>
      <c r="BL5" s="310">
        <f>BJ5+BK5</f>
        <v>122623</v>
      </c>
      <c r="BM5" s="310">
        <v>120</v>
      </c>
      <c r="BO5" s="387">
        <f>AI5</f>
        <v>-10284000</v>
      </c>
    </row>
    <row r="6" spans="2:69" s="296" customFormat="1" ht="18" customHeight="1">
      <c r="B6" s="399" t="s">
        <v>255</v>
      </c>
      <c r="C6" s="392">
        <f>ROUND($P6,-3)</f>
        <v>1481000</v>
      </c>
      <c r="D6" s="392">
        <f>($C6/$C$8)*D$8</f>
        <v>746611.783676274</v>
      </c>
      <c r="E6" s="400">
        <f>-(49393.85+54124.81+59067.63+70796.1)-($C6/$C$8)*14110200</f>
        <v>-2227771.2237468981</v>
      </c>
      <c r="F6" s="458">
        <f>ROUND(C6+E6+D6,-3)</f>
        <v>0</v>
      </c>
      <c r="G6" s="401">
        <v>120</v>
      </c>
      <c r="H6" s="392">
        <f>ROUND($P6,-3)</f>
        <v>1481000</v>
      </c>
      <c r="I6" s="400">
        <f>ROUND(-162586.29,-3)</f>
        <v>-163000</v>
      </c>
      <c r="J6" s="400">
        <f>ROUND(4188045.01,-3)</f>
        <v>4188000</v>
      </c>
      <c r="K6" s="400">
        <f>H6+I6+J6+1000</f>
        <v>5507000</v>
      </c>
      <c r="L6" s="401">
        <v>120</v>
      </c>
      <c r="M6" s="392">
        <f>ROUND($AJ6,-3)</f>
        <v>7732000</v>
      </c>
      <c r="N6" s="400">
        <f>ROUND(-28572887.22*(M6/(M$5+M$6)),-3)</f>
        <v>-4041000</v>
      </c>
      <c r="O6" s="400">
        <f>ROUND(-184084.63*12,-3)</f>
        <v>-2209000</v>
      </c>
      <c r="P6" s="400">
        <f>M6+O6+N6-1000</f>
        <v>1481000</v>
      </c>
      <c r="Q6" s="401">
        <v>120</v>
      </c>
      <c r="R6" s="400">
        <f>$AJ6</f>
        <v>7732000</v>
      </c>
      <c r="S6" s="400">
        <f>-184084.63*9</f>
        <v>-1656761.67</v>
      </c>
      <c r="T6" s="400">
        <v>0</v>
      </c>
      <c r="U6" s="400">
        <f>R6+S6+T6</f>
        <v>6075238.3300000001</v>
      </c>
      <c r="V6" s="401">
        <v>120</v>
      </c>
      <c r="W6" s="400">
        <f>$AJ6</f>
        <v>7732000</v>
      </c>
      <c r="X6" s="400">
        <f>-184084.63*6</f>
        <v>-1104507.78</v>
      </c>
      <c r="Y6" s="400">
        <v>0</v>
      </c>
      <c r="Z6" s="400">
        <f>W6+X6+Y6</f>
        <v>6627492.2199999997</v>
      </c>
      <c r="AA6" s="401">
        <v>120</v>
      </c>
      <c r="AB6" s="400">
        <f>$AJ6</f>
        <v>7732000</v>
      </c>
      <c r="AC6" s="400">
        <f>-184084.63*3</f>
        <v>-552253.89</v>
      </c>
      <c r="AD6" s="400">
        <v>0</v>
      </c>
      <c r="AE6" s="400">
        <f>AB6+AC6+AD6</f>
        <v>7179746.1100000003</v>
      </c>
      <c r="AF6" s="401">
        <v>120</v>
      </c>
      <c r="AG6" s="400">
        <f>ROUND($BD6,-3)</f>
        <v>12118000</v>
      </c>
      <c r="AH6" s="400">
        <f>ROUND(-224413.83*12,-3)</f>
        <v>-2693000</v>
      </c>
      <c r="AI6" s="400">
        <f>ROUND(-11977437.98*(AG6/(AG$5+AG$6)),-3)</f>
        <v>-1694000</v>
      </c>
      <c r="AJ6" s="400">
        <f>ROUND(AG6+AH6+AI6,-3)+1000</f>
        <v>7732000</v>
      </c>
      <c r="AK6" s="401">
        <v>120</v>
      </c>
      <c r="AL6" s="282">
        <f>$BD6</f>
        <v>12118347</v>
      </c>
      <c r="AM6" s="282">
        <f>-224413.83*9</f>
        <v>-2019724.47</v>
      </c>
      <c r="AN6" s="282">
        <v>0</v>
      </c>
      <c r="AO6" s="282">
        <f>AL6+AM6+AN6</f>
        <v>10098622.529999999</v>
      </c>
      <c r="AP6" s="307">
        <v>120</v>
      </c>
      <c r="AQ6" s="282">
        <f>$BD6</f>
        <v>12118347</v>
      </c>
      <c r="AR6" s="282">
        <f>-224413.83*6</f>
        <v>-1346482.98</v>
      </c>
      <c r="AS6" s="282">
        <v>0</v>
      </c>
      <c r="AT6" s="282">
        <f>AQ6+AR6+AS6</f>
        <v>10771864.02</v>
      </c>
      <c r="AU6" s="307">
        <v>120</v>
      </c>
      <c r="AV6" s="282">
        <f>$BD6</f>
        <v>12118347</v>
      </c>
      <c r="AW6" s="282">
        <f>-224413.83*3</f>
        <v>-673241.49</v>
      </c>
      <c r="AX6" s="282">
        <v>0</v>
      </c>
      <c r="AY6" s="282">
        <f>AV6+AW6+AX6</f>
        <v>11445105.51</v>
      </c>
      <c r="AZ6" s="307">
        <v>120</v>
      </c>
      <c r="BA6" s="282">
        <v>14811313</v>
      </c>
      <c r="BB6" s="282">
        <f>-2692966</f>
        <v>-2692966</v>
      </c>
      <c r="BC6" s="282">
        <v>0</v>
      </c>
      <c r="BD6" s="282">
        <f>BA6+BB6+BC6</f>
        <v>12118347</v>
      </c>
      <c r="BE6" s="307">
        <v>120</v>
      </c>
      <c r="BF6" s="310">
        <f>BL6</f>
        <v>20197</v>
      </c>
      <c r="BG6" s="310">
        <f>-2693</f>
        <v>-2693</v>
      </c>
      <c r="BH6" s="310">
        <f>BF6+BG6</f>
        <v>17504</v>
      </c>
      <c r="BI6" s="310">
        <v>120</v>
      </c>
      <c r="BJ6" s="310">
        <v>22890</v>
      </c>
      <c r="BK6" s="310">
        <v>-2693</v>
      </c>
      <c r="BL6" s="310">
        <f>BJ6+BK6</f>
        <v>20197</v>
      </c>
      <c r="BM6" s="310">
        <v>120</v>
      </c>
      <c r="BO6" s="404">
        <f>ROUND(AG6+AH6+AI6,-3)+1000</f>
        <v>7732000</v>
      </c>
    </row>
    <row r="7" spans="2:69" s="296" customFormat="1" ht="18" hidden="1" customHeight="1" outlineLevel="1">
      <c r="B7" s="394" t="s">
        <v>1329</v>
      </c>
      <c r="C7" s="392">
        <f>$AJ7</f>
        <v>0</v>
      </c>
      <c r="D7" s="395">
        <v>0</v>
      </c>
      <c r="E7" s="400">
        <f>-C7</f>
        <v>0</v>
      </c>
      <c r="F7" s="395">
        <f>C7+E7+D7</f>
        <v>0</v>
      </c>
      <c r="G7" s="396">
        <v>0</v>
      </c>
      <c r="H7" s="392">
        <f>$AJ7</f>
        <v>0</v>
      </c>
      <c r="I7" s="400">
        <f>-H7</f>
        <v>0</v>
      </c>
      <c r="J7" s="395">
        <v>0</v>
      </c>
      <c r="K7" s="395">
        <f>H7+I7+J7</f>
        <v>0</v>
      </c>
      <c r="L7" s="396">
        <v>0</v>
      </c>
      <c r="M7" s="392">
        <f>$AJ7</f>
        <v>0</v>
      </c>
      <c r="N7" s="395">
        <v>0</v>
      </c>
      <c r="O7" s="400">
        <f>-M7</f>
        <v>0</v>
      </c>
      <c r="P7" s="395">
        <f>M7+O7+N7</f>
        <v>0</v>
      </c>
      <c r="Q7" s="396">
        <v>0</v>
      </c>
      <c r="R7" s="395">
        <f>$AJ7</f>
        <v>0</v>
      </c>
      <c r="S7" s="395">
        <v>0</v>
      </c>
      <c r="T7" s="395">
        <v>0</v>
      </c>
      <c r="U7" s="395">
        <f>R7+S7+T7</f>
        <v>0</v>
      </c>
      <c r="V7" s="396">
        <v>0</v>
      </c>
      <c r="W7" s="395">
        <f>$AJ7</f>
        <v>0</v>
      </c>
      <c r="X7" s="395">
        <v>0</v>
      </c>
      <c r="Y7" s="395">
        <v>0</v>
      </c>
      <c r="Z7" s="395">
        <f>W7+X7+Y7</f>
        <v>0</v>
      </c>
      <c r="AA7" s="396">
        <v>0</v>
      </c>
      <c r="AB7" s="395">
        <f>$AJ7</f>
        <v>0</v>
      </c>
      <c r="AC7" s="395">
        <v>0</v>
      </c>
      <c r="AD7" s="395">
        <v>0</v>
      </c>
      <c r="AE7" s="395">
        <f>AB7+AC7+AD7</f>
        <v>0</v>
      </c>
      <c r="AF7" s="396">
        <v>0</v>
      </c>
      <c r="AG7" s="395">
        <f>ROUND($BD7,-3)</f>
        <v>6899000</v>
      </c>
      <c r="AH7" s="395">
        <v>0</v>
      </c>
      <c r="AI7" s="395">
        <f>ROUND(-6898821.96,-3)</f>
        <v>-6899000</v>
      </c>
      <c r="AJ7" s="395">
        <f>AG7+AH7+AI7</f>
        <v>0</v>
      </c>
      <c r="AK7" s="396">
        <v>0</v>
      </c>
      <c r="AL7" s="323">
        <f>$BD7</f>
        <v>6898821.9600000009</v>
      </c>
      <c r="AM7" s="323">
        <v>0</v>
      </c>
      <c r="AN7" s="323">
        <v>0</v>
      </c>
      <c r="AO7" s="323">
        <f>AL7+AM7+AN7</f>
        <v>6898821.9600000009</v>
      </c>
      <c r="AP7" s="370">
        <v>0</v>
      </c>
      <c r="AQ7" s="323">
        <f>$BD7</f>
        <v>6898821.9600000009</v>
      </c>
      <c r="AR7" s="323">
        <v>0</v>
      </c>
      <c r="AS7" s="323">
        <v>0</v>
      </c>
      <c r="AT7" s="323">
        <f>AQ7+AR7+AS7</f>
        <v>6898821.9600000009</v>
      </c>
      <c r="AU7" s="370">
        <v>0</v>
      </c>
      <c r="AV7" s="323">
        <f>$BD7</f>
        <v>6898821.9600000009</v>
      </c>
      <c r="AW7" s="323">
        <v>0</v>
      </c>
      <c r="AX7" s="323">
        <v>0</v>
      </c>
      <c r="AY7" s="323">
        <f>AV7+AW7+AX7</f>
        <v>6898821.9600000009</v>
      </c>
      <c r="AZ7" s="370">
        <v>0</v>
      </c>
      <c r="BA7" s="323">
        <f>79281286-34475887.07</f>
        <v>44805398.93</v>
      </c>
      <c r="BB7" s="323">
        <v>0</v>
      </c>
      <c r="BC7" s="323">
        <v>-37906576.969999999</v>
      </c>
      <c r="BD7" s="323">
        <f>BA7+BB7+BC7</f>
        <v>6898821.9600000009</v>
      </c>
      <c r="BE7" s="370">
        <v>0</v>
      </c>
      <c r="BF7" s="310">
        <f>BL7</f>
        <v>79281</v>
      </c>
      <c r="BG7" s="310">
        <v>0</v>
      </c>
      <c r="BH7" s="310">
        <f>BF7+BG7</f>
        <v>79281</v>
      </c>
      <c r="BI7" s="310">
        <v>0</v>
      </c>
      <c r="BJ7" s="310">
        <v>79281</v>
      </c>
      <c r="BK7" s="310">
        <v>0</v>
      </c>
      <c r="BL7" s="310">
        <f>BJ7+BK7</f>
        <v>79281</v>
      </c>
      <c r="BM7" s="310">
        <v>0</v>
      </c>
    </row>
    <row r="8" spans="2:69" s="296" customFormat="1" ht="18" customHeight="1" collapsed="1">
      <c r="B8" s="402" t="s">
        <v>243</v>
      </c>
      <c r="C8" s="397">
        <f>SUM(C5:C7)</f>
        <v>10478000</v>
      </c>
      <c r="D8" s="397">
        <f>970155.33+978648.97+2239240.71+1094195.55</f>
        <v>5282240.5599999996</v>
      </c>
      <c r="E8" s="397">
        <f>SUM(E5:E7)</f>
        <v>-15760500.559999999</v>
      </c>
      <c r="F8" s="457">
        <f>SUM(F5:F7)</f>
        <v>0</v>
      </c>
      <c r="G8" s="403"/>
      <c r="H8" s="397">
        <f>SUM(H5:H7)</f>
        <v>10478000</v>
      </c>
      <c r="I8" s="397">
        <f>SUM(I5:I7)</f>
        <v>-1150000</v>
      </c>
      <c r="J8" s="397">
        <f>SUM(J5:J7)</f>
        <v>4188000</v>
      </c>
      <c r="K8" s="397">
        <f>SUM(K5:K7)</f>
        <v>13517000</v>
      </c>
      <c r="L8" s="403"/>
      <c r="M8" s="397">
        <f>SUM(M5:M7)</f>
        <v>54672000</v>
      </c>
      <c r="N8" s="397">
        <f>SUM(N5:N7)</f>
        <v>-28573000</v>
      </c>
      <c r="O8" s="397">
        <f>SUM(O5:O7)</f>
        <v>-15620000</v>
      </c>
      <c r="P8" s="397">
        <f>SUM(P5:P7)</f>
        <v>10478000</v>
      </c>
      <c r="Q8" s="403"/>
      <c r="R8" s="397">
        <f>SUM(R5:R7)</f>
        <v>54672000</v>
      </c>
      <c r="S8" s="397">
        <f>SUM(S5:S7)</f>
        <v>-11715344.1</v>
      </c>
      <c r="T8" s="397">
        <f>SUM(T5:T7)</f>
        <v>0</v>
      </c>
      <c r="U8" s="397">
        <f>SUM(U5:U7)</f>
        <v>42956655.899999999</v>
      </c>
      <c r="V8" s="403"/>
      <c r="W8" s="397">
        <f>SUM(W5:W7)</f>
        <v>54672000</v>
      </c>
      <c r="X8" s="397">
        <f>SUM(X5:X7)</f>
        <v>-7810229.4000000004</v>
      </c>
      <c r="Y8" s="397">
        <f>SUM(Y5:Y7)</f>
        <v>0</v>
      </c>
      <c r="Z8" s="397">
        <f>SUM(Z5:Z7)</f>
        <v>46861770.600000001</v>
      </c>
      <c r="AA8" s="403"/>
      <c r="AB8" s="397">
        <f>SUM(AB5:AB7)</f>
        <v>54672000</v>
      </c>
      <c r="AC8" s="397">
        <f>SUM(AC5:AC7)</f>
        <v>-3905114.7</v>
      </c>
      <c r="AD8" s="397">
        <f>SUM(AD5:AD7)</f>
        <v>0</v>
      </c>
      <c r="AE8" s="397">
        <f>SUM(AE5:AE7)</f>
        <v>50766885.299999997</v>
      </c>
      <c r="AF8" s="403"/>
      <c r="AG8" s="397">
        <f>SUM(AG5:AG7)</f>
        <v>92591000</v>
      </c>
      <c r="AH8" s="397">
        <f>SUM(AH5:AH7)</f>
        <v>-19043000</v>
      </c>
      <c r="AI8" s="397">
        <f>SUM(AI5:AI7)</f>
        <v>-18877000</v>
      </c>
      <c r="AJ8" s="397">
        <f>SUM(AJ5:AJ7)</f>
        <v>54672000</v>
      </c>
      <c r="AK8" s="403"/>
      <c r="AL8" s="371">
        <f>SUM(AL5:AL7)</f>
        <v>92590449.960000008</v>
      </c>
      <c r="AM8" s="371">
        <f>SUM(AM5:AM7)</f>
        <v>-14281938</v>
      </c>
      <c r="AN8" s="371">
        <f>SUM(AN5:AN7)</f>
        <v>0</v>
      </c>
      <c r="AO8" s="371">
        <f>SUM(AO5:AO7)</f>
        <v>78308511.960000008</v>
      </c>
      <c r="AP8" s="372"/>
      <c r="AQ8" s="371">
        <f>SUM(AQ5:AQ7)</f>
        <v>92590449.960000008</v>
      </c>
      <c r="AR8" s="371">
        <f>SUM(AR5:AR7)</f>
        <v>-9521292</v>
      </c>
      <c r="AS8" s="371">
        <f>SUM(AS5:AS7)</f>
        <v>0</v>
      </c>
      <c r="AT8" s="371">
        <f>SUM(AT5:AT7)</f>
        <v>83069157.960000008</v>
      </c>
      <c r="AU8" s="372"/>
      <c r="AV8" s="371">
        <f>SUM(AV5:AV7)</f>
        <v>92590449.960000008</v>
      </c>
      <c r="AW8" s="371">
        <f>SUM(AW5:AW7)</f>
        <v>-4760646</v>
      </c>
      <c r="AX8" s="371">
        <f>SUM(AX5:AX7)</f>
        <v>0</v>
      </c>
      <c r="AY8" s="371">
        <f>SUM(AY5:AY7)</f>
        <v>87829803.960000008</v>
      </c>
      <c r="AZ8" s="372"/>
      <c r="BA8" s="371">
        <f>SUM(BA5:BA7)</f>
        <v>149539610.93000001</v>
      </c>
      <c r="BB8" s="371">
        <f>SUM(BB5:BB7)</f>
        <v>-19042584</v>
      </c>
      <c r="BC8" s="371">
        <f>SUM(BC5:BC7)</f>
        <v>-37906576.969999999</v>
      </c>
      <c r="BD8" s="371">
        <f>SUM(BD5:BD7)</f>
        <v>92590449.960000008</v>
      </c>
      <c r="BE8" s="372"/>
      <c r="BF8" s="381">
        <f t="shared" ref="BF8:BL8" si="0">SUM(BF5:BF7)</f>
        <v>222101</v>
      </c>
      <c r="BG8" s="381">
        <f t="shared" si="0"/>
        <v>-19042</v>
      </c>
      <c r="BH8" s="381">
        <f t="shared" si="0"/>
        <v>203059</v>
      </c>
      <c r="BI8" s="380"/>
      <c r="BJ8" s="381">
        <f t="shared" si="0"/>
        <v>241143</v>
      </c>
      <c r="BK8" s="381">
        <f t="shared" si="0"/>
        <v>-19042</v>
      </c>
      <c r="BL8" s="380">
        <f t="shared" si="0"/>
        <v>222101</v>
      </c>
      <c r="BM8" s="380"/>
    </row>
    <row r="9" spans="2:69" s="234" customFormat="1">
      <c r="BP9" s="305"/>
    </row>
    <row r="10" spans="2:69" s="234" customFormat="1">
      <c r="BP10" s="305"/>
    </row>
    <row r="11" spans="2:69" s="234" customFormat="1">
      <c r="B11" s="203" t="s">
        <v>1239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BQ11" s="305"/>
    </row>
    <row r="12" spans="2:69" s="234" customFormat="1">
      <c r="B12" s="204" t="s">
        <v>1295</v>
      </c>
      <c r="C12" s="205"/>
      <c r="D12" s="205"/>
      <c r="E12" s="205"/>
      <c r="F12" s="205">
        <v>0</v>
      </c>
      <c r="G12" s="205"/>
      <c r="H12" s="205"/>
      <c r="I12" s="205"/>
      <c r="J12" s="205"/>
      <c r="K12" s="205">
        <v>190425840</v>
      </c>
      <c r="L12" s="205"/>
      <c r="M12" s="205"/>
      <c r="N12" s="205"/>
      <c r="O12" s="205"/>
      <c r="P12" s="205">
        <v>190425840</v>
      </c>
      <c r="Q12" s="205"/>
      <c r="R12" s="205"/>
      <c r="S12" s="205"/>
      <c r="T12" s="205"/>
      <c r="U12" s="205">
        <v>190425840</v>
      </c>
      <c r="V12" s="205"/>
      <c r="W12" s="205"/>
      <c r="X12" s="205"/>
      <c r="Y12" s="205"/>
      <c r="Z12" s="205">
        <v>190425840</v>
      </c>
      <c r="AA12" s="205"/>
      <c r="AB12" s="205"/>
      <c r="AC12" s="205"/>
      <c r="AD12" s="205"/>
      <c r="AE12" s="205">
        <v>190425840</v>
      </c>
      <c r="AF12" s="205"/>
      <c r="AG12" s="205"/>
      <c r="AH12" s="205"/>
      <c r="AI12" s="205"/>
      <c r="AJ12" s="205">
        <v>190425840</v>
      </c>
      <c r="AK12" s="205"/>
      <c r="BQ12" s="305"/>
    </row>
    <row r="13" spans="2:69" s="234" customFormat="1">
      <c r="B13" s="204" t="s">
        <v>1296</v>
      </c>
      <c r="C13" s="205"/>
      <c r="D13" s="205"/>
      <c r="E13" s="205"/>
      <c r="F13" s="205">
        <v>0</v>
      </c>
      <c r="G13" s="205"/>
      <c r="H13" s="205"/>
      <c r="I13" s="205"/>
      <c r="J13" s="205"/>
      <c r="K13" s="205">
        <v>-140546939.86000001</v>
      </c>
      <c r="L13" s="205"/>
      <c r="M13" s="205"/>
      <c r="N13" s="205"/>
      <c r="O13" s="205"/>
      <c r="P13" s="205">
        <v>-139397254.80000001</v>
      </c>
      <c r="Q13" s="205"/>
      <c r="R13" s="205"/>
      <c r="S13" s="205"/>
      <c r="T13" s="205"/>
      <c r="U13" s="205">
        <v>-135492140.09999999</v>
      </c>
      <c r="V13" s="205"/>
      <c r="W13" s="205"/>
      <c r="X13" s="205"/>
      <c r="Y13" s="205"/>
      <c r="Z13" s="205">
        <v>-131587025.40000001</v>
      </c>
      <c r="AA13" s="205"/>
      <c r="AB13" s="205"/>
      <c r="AC13" s="205"/>
      <c r="AD13" s="205"/>
      <c r="AE13" s="205">
        <v>-127681910.7</v>
      </c>
      <c r="AF13" s="205"/>
      <c r="AG13" s="205"/>
      <c r="AH13" s="205"/>
      <c r="AI13" s="205"/>
      <c r="AJ13" s="205">
        <v>-123776796</v>
      </c>
      <c r="AK13" s="205"/>
      <c r="BQ13" s="305"/>
    </row>
    <row r="14" spans="2:69" s="234" customFormat="1">
      <c r="B14" s="204" t="s">
        <v>1297</v>
      </c>
      <c r="C14" s="205"/>
      <c r="D14" s="205"/>
      <c r="E14" s="205"/>
      <c r="F14" s="205">
        <v>0</v>
      </c>
      <c r="G14" s="205"/>
      <c r="H14" s="205"/>
      <c r="I14" s="205"/>
      <c r="J14" s="205"/>
      <c r="K14" s="205">
        <v>-36362280.189999998</v>
      </c>
      <c r="L14" s="205"/>
      <c r="M14" s="205"/>
      <c r="N14" s="205"/>
      <c r="O14" s="205"/>
      <c r="P14" s="205">
        <v>-40550325.200000003</v>
      </c>
      <c r="Q14" s="205"/>
      <c r="R14" s="205"/>
      <c r="S14" s="205"/>
      <c r="T14" s="205"/>
      <c r="U14" s="205">
        <v>-11977437.98</v>
      </c>
      <c r="V14" s="205"/>
      <c r="W14" s="205"/>
      <c r="X14" s="205"/>
      <c r="Y14" s="205"/>
      <c r="Z14" s="205">
        <v>-11977437.98</v>
      </c>
      <c r="AA14" s="205"/>
      <c r="AB14" s="205"/>
      <c r="AC14" s="205"/>
      <c r="AD14" s="205"/>
      <c r="AE14" s="205">
        <v>-11977437.98</v>
      </c>
      <c r="AF14" s="205"/>
      <c r="AG14" s="205"/>
      <c r="AH14" s="205"/>
      <c r="AI14" s="205"/>
      <c r="AJ14" s="205">
        <v>-11977437.98</v>
      </c>
      <c r="AK14" s="205"/>
      <c r="BQ14" s="305"/>
    </row>
    <row r="15" spans="2:69" s="234" customFormat="1">
      <c r="B15" s="204" t="s">
        <v>1298</v>
      </c>
      <c r="C15" s="205"/>
      <c r="D15" s="205"/>
      <c r="E15" s="205"/>
      <c r="F15" s="205">
        <v>0</v>
      </c>
      <c r="G15" s="205"/>
      <c r="H15" s="205"/>
      <c r="I15" s="205"/>
      <c r="J15" s="205"/>
      <c r="K15" s="205">
        <v>79281286</v>
      </c>
      <c r="L15" s="205"/>
      <c r="M15" s="205"/>
      <c r="N15" s="205"/>
      <c r="O15" s="205"/>
      <c r="P15" s="205">
        <v>79281286</v>
      </c>
      <c r="Q15" s="205"/>
      <c r="R15" s="205"/>
      <c r="S15" s="205"/>
      <c r="T15" s="205"/>
      <c r="U15" s="205">
        <v>79281286</v>
      </c>
      <c r="V15" s="205"/>
      <c r="W15" s="205"/>
      <c r="X15" s="205"/>
      <c r="Y15" s="205"/>
      <c r="Z15" s="205">
        <v>79281286</v>
      </c>
      <c r="AA15" s="205"/>
      <c r="AB15" s="205"/>
      <c r="AC15" s="205"/>
      <c r="AD15" s="205"/>
      <c r="AE15" s="205">
        <v>79281286</v>
      </c>
      <c r="AF15" s="205"/>
      <c r="AG15" s="205"/>
      <c r="AH15" s="205"/>
      <c r="AI15" s="205"/>
      <c r="AJ15" s="205">
        <v>79281286</v>
      </c>
      <c r="AK15" s="205"/>
      <c r="BQ15" s="305"/>
    </row>
    <row r="16" spans="2:69" s="234" customFormat="1">
      <c r="B16" s="204" t="s">
        <v>1299</v>
      </c>
      <c r="C16" s="205"/>
      <c r="D16" s="205"/>
      <c r="E16" s="205"/>
      <c r="F16" s="205">
        <v>0</v>
      </c>
      <c r="G16" s="205"/>
      <c r="H16" s="205"/>
      <c r="I16" s="205"/>
      <c r="J16" s="205"/>
      <c r="K16" s="205">
        <v>-79281286</v>
      </c>
      <c r="L16" s="205"/>
      <c r="M16" s="205"/>
      <c r="N16" s="205"/>
      <c r="O16" s="205"/>
      <c r="P16" s="205">
        <v>-79281286</v>
      </c>
      <c r="Q16" s="205"/>
      <c r="R16" s="205"/>
      <c r="S16" s="205"/>
      <c r="T16" s="205"/>
      <c r="U16" s="205">
        <v>-79281286</v>
      </c>
      <c r="V16" s="205"/>
      <c r="W16" s="205"/>
      <c r="X16" s="205"/>
      <c r="Y16" s="205"/>
      <c r="Z16" s="205">
        <v>-79281286</v>
      </c>
      <c r="AA16" s="205"/>
      <c r="AB16" s="205"/>
      <c r="AC16" s="205"/>
      <c r="AD16" s="205"/>
      <c r="AE16" s="205">
        <v>-79281286</v>
      </c>
      <c r="AF16" s="205"/>
      <c r="AG16" s="205"/>
      <c r="AH16" s="205"/>
      <c r="AI16" s="205"/>
      <c r="AJ16" s="205">
        <v>-79281286</v>
      </c>
      <c r="AK16" s="205"/>
      <c r="BQ16" s="305"/>
    </row>
    <row r="17" spans="2:69" s="234" customFormat="1">
      <c r="B17" s="306" t="s">
        <v>243</v>
      </c>
      <c r="C17" s="298"/>
      <c r="D17" s="298"/>
      <c r="E17" s="298"/>
      <c r="F17" s="298">
        <f>ROUND(SUM(F12:F16),-3)</f>
        <v>0</v>
      </c>
      <c r="G17" s="298"/>
      <c r="H17" s="298"/>
      <c r="I17" s="298"/>
      <c r="J17" s="298"/>
      <c r="K17" s="298">
        <f>ROUND(SUM(K12:K16),-3)</f>
        <v>13517000</v>
      </c>
      <c r="L17" s="298"/>
      <c r="M17" s="298"/>
      <c r="N17" s="298"/>
      <c r="O17" s="298"/>
      <c r="P17" s="298">
        <f>ROUND(SUM(P12:P16),-3)</f>
        <v>10478000</v>
      </c>
      <c r="Q17" s="298"/>
      <c r="R17" s="298"/>
      <c r="S17" s="298"/>
      <c r="T17" s="298"/>
      <c r="U17" s="298">
        <f>ROUND(SUM(U12:U16),-3)</f>
        <v>42956000</v>
      </c>
      <c r="V17" s="298"/>
      <c r="W17" s="298"/>
      <c r="X17" s="298"/>
      <c r="Y17" s="298"/>
      <c r="Z17" s="298">
        <f>ROUND(SUM(Z12:Z16),-3)</f>
        <v>46861000</v>
      </c>
      <c r="AA17" s="298"/>
      <c r="AB17" s="298"/>
      <c r="AC17" s="298"/>
      <c r="AD17" s="298"/>
      <c r="AE17" s="298">
        <f>ROUND(SUM(AE12:AE16),-3)</f>
        <v>50766000</v>
      </c>
      <c r="AF17" s="298"/>
      <c r="AG17" s="298"/>
      <c r="AH17" s="298"/>
      <c r="AI17" s="298"/>
      <c r="AJ17" s="298">
        <f>ROUND(SUM(AJ12:AJ16),-3)</f>
        <v>54672000</v>
      </c>
      <c r="AK17" s="298"/>
      <c r="BQ17" s="305"/>
    </row>
    <row r="18" spans="2:69">
      <c r="B18" s="193" t="s">
        <v>1294</v>
      </c>
      <c r="C18" s="194"/>
      <c r="D18" s="194"/>
      <c r="E18" s="194"/>
      <c r="F18" s="194">
        <f>F8-F17</f>
        <v>0</v>
      </c>
      <c r="G18" s="194"/>
      <c r="H18" s="194"/>
      <c r="I18" s="194"/>
      <c r="J18" s="194"/>
      <c r="K18" s="194">
        <f>K8-K17</f>
        <v>0</v>
      </c>
      <c r="L18" s="194"/>
      <c r="M18" s="194"/>
      <c r="N18" s="194"/>
      <c r="O18" s="194"/>
      <c r="P18" s="194">
        <f>P8-P17</f>
        <v>0</v>
      </c>
      <c r="Q18" s="194"/>
      <c r="R18" s="194"/>
      <c r="S18" s="194"/>
      <c r="T18" s="194"/>
      <c r="U18" s="194">
        <f>U8-U17</f>
        <v>655.89999999850988</v>
      </c>
      <c r="V18" s="194"/>
      <c r="W18" s="194"/>
      <c r="X18" s="194"/>
      <c r="Y18" s="194"/>
      <c r="Z18" s="194">
        <f>Z8-Z17</f>
        <v>770.60000000149012</v>
      </c>
      <c r="AA18" s="194"/>
      <c r="AB18" s="194"/>
      <c r="AC18" s="194"/>
      <c r="AD18" s="194"/>
      <c r="AE18" s="194">
        <f>AE8-AE17</f>
        <v>885.29999999701977</v>
      </c>
      <c r="AF18" s="194"/>
      <c r="AG18" s="194"/>
      <c r="AH18" s="194"/>
      <c r="AI18" s="194"/>
      <c r="AJ18" s="194">
        <f>AJ8-AJ17</f>
        <v>0</v>
      </c>
      <c r="AK18" s="194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E18" s="303"/>
      <c r="BF18" s="304"/>
      <c r="BG18" s="303"/>
      <c r="BI18" s="303"/>
      <c r="BJ18" s="304"/>
      <c r="BK18" s="304"/>
      <c r="BN18" s="304"/>
      <c r="BQ18" s="302"/>
    </row>
    <row r="19" spans="2:69">
      <c r="BP19" s="302"/>
    </row>
    <row r="20" spans="2:69">
      <c r="BP20" s="302"/>
    </row>
    <row r="22" spans="2:69">
      <c r="AE22" s="309"/>
      <c r="AF22" s="309"/>
      <c r="BD22" s="309"/>
      <c r="BE22" s="309"/>
      <c r="BH22" s="309"/>
      <c r="BI22" s="309"/>
      <c r="BM22" s="309"/>
    </row>
    <row r="23" spans="2:69">
      <c r="AE23" s="302"/>
      <c r="AF23" s="302"/>
      <c r="BD23" s="302"/>
      <c r="BE23" s="302"/>
      <c r="BH23" s="302"/>
      <c r="BI23" s="302"/>
      <c r="BM23" s="302"/>
    </row>
  </sheetData>
  <mergeCells count="14">
    <mergeCell ref="BF3:BI3"/>
    <mergeCell ref="BJ3:BM3"/>
    <mergeCell ref="BA3:BE3"/>
    <mergeCell ref="AG3:AK3"/>
    <mergeCell ref="W3:AA3"/>
    <mergeCell ref="AB3:AF3"/>
    <mergeCell ref="AL3:AP3"/>
    <mergeCell ref="AQ3:AU3"/>
    <mergeCell ref="AV3:AZ3"/>
    <mergeCell ref="C3:G3"/>
    <mergeCell ref="B3:B4"/>
    <mergeCell ref="H3:L3"/>
    <mergeCell ref="M3:Q3"/>
    <mergeCell ref="R3:V3"/>
  </mergeCells>
  <conditionalFormatting sqref="H2">
    <cfRule type="cellIs" dxfId="9" priority="4" operator="lessThan">
      <formula>0</formula>
    </cfRule>
  </conditionalFormatting>
  <conditionalFormatting sqref="R2 W2 AB2 AG2 AL2 AQ2 AV2 BA2 BF2 BJ2">
    <cfRule type="cellIs" dxfId="8" priority="2" operator="lessThan">
      <formula>0</formula>
    </cfRule>
  </conditionalFormatting>
  <conditionalFormatting sqref="M2">
    <cfRule type="cellIs" dxfId="7" priority="3" operator="lessThan">
      <formula>0</formula>
    </cfRule>
  </conditionalFormatting>
  <conditionalFormatting sqref="C2">
    <cfRule type="cellIs" dxfId="6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AJ6 K6 P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9F0C-68C0-4C7E-A145-90D60928E38C}">
  <sheetPr codeName="Planilha32">
    <tabColor rgb="FFFF0000"/>
  </sheetPr>
  <dimension ref="B1:K13"/>
  <sheetViews>
    <sheetView showGridLines="0" zoomScaleNormal="100" workbookViewId="0">
      <selection activeCell="B3" sqref="B3:Q8"/>
    </sheetView>
  </sheetViews>
  <sheetFormatPr defaultRowHeight="12" outlineLevelCol="1"/>
  <cols>
    <col min="1" max="1" width="1.7109375" style="295" customWidth="1"/>
    <col min="2" max="2" width="49.7109375" style="295" customWidth="1"/>
    <col min="3" max="3" width="33.7109375" style="295" hidden="1" customWidth="1" outlineLevel="1"/>
    <col min="4" max="4" width="12.7109375" style="295" customWidth="1" collapsed="1"/>
    <col min="5" max="5" width="12.7109375" style="295" customWidth="1"/>
    <col min="6" max="10" width="12.7109375" style="295" hidden="1" customWidth="1" outlineLevel="1"/>
    <col min="11" max="11" width="4.5703125" style="295" customWidth="1" collapsed="1"/>
    <col min="12" max="16384" width="9.140625" style="295"/>
  </cols>
  <sheetData>
    <row r="1" spans="2:10" s="234" customFormat="1"/>
    <row r="2" spans="2:10" s="234" customFormat="1">
      <c r="B2" s="296"/>
      <c r="C2" s="296"/>
      <c r="D2" s="320">
        <v>44012</v>
      </c>
      <c r="E2" s="320">
        <v>43830</v>
      </c>
      <c r="F2" s="320">
        <v>43921</v>
      </c>
      <c r="G2" s="320">
        <v>43738</v>
      </c>
      <c r="H2" s="320">
        <v>43644</v>
      </c>
      <c r="I2" s="320">
        <v>43553</v>
      </c>
      <c r="J2" s="320">
        <v>43465</v>
      </c>
    </row>
    <row r="3" spans="2:10" s="234" customFormat="1" ht="30" customHeight="1">
      <c r="B3" s="294" t="s">
        <v>1337</v>
      </c>
      <c r="C3" s="386" t="s">
        <v>248</v>
      </c>
      <c r="D3" s="311">
        <v>44012</v>
      </c>
      <c r="E3" s="311">
        <v>43830</v>
      </c>
      <c r="F3" s="311">
        <v>43921</v>
      </c>
      <c r="G3" s="311">
        <v>43738</v>
      </c>
      <c r="H3" s="311">
        <v>43646</v>
      </c>
      <c r="I3" s="311">
        <v>43555</v>
      </c>
      <c r="J3" s="311">
        <v>43465</v>
      </c>
    </row>
    <row r="4" spans="2:10" s="234" customFormat="1" ht="18" customHeight="1">
      <c r="B4" s="299" t="s">
        <v>1336</v>
      </c>
      <c r="C4" s="321" t="s">
        <v>1297</v>
      </c>
      <c r="D4" s="282">
        <v>0</v>
      </c>
      <c r="E4" s="282">
        <v>-40550000</v>
      </c>
      <c r="F4" s="282">
        <v>-36362000</v>
      </c>
      <c r="G4" s="282">
        <v>-11977000</v>
      </c>
      <c r="H4" s="282">
        <v>-11977000</v>
      </c>
      <c r="I4" s="282">
        <v>-11977000</v>
      </c>
      <c r="J4" s="282">
        <v>-11977000</v>
      </c>
    </row>
    <row r="5" spans="2:10" s="234" customFormat="1" ht="18" customHeight="1">
      <c r="B5" s="322" t="s">
        <v>1335</v>
      </c>
      <c r="C5" s="325" t="s">
        <v>1299</v>
      </c>
      <c r="D5" s="323">
        <v>0</v>
      </c>
      <c r="E5" s="323">
        <v>-79281000</v>
      </c>
      <c r="F5" s="323">
        <v>-79281000</v>
      </c>
      <c r="G5" s="323">
        <v>-79281000</v>
      </c>
      <c r="H5" s="323">
        <v>-79281000</v>
      </c>
      <c r="I5" s="323">
        <v>-79281000</v>
      </c>
      <c r="J5" s="323">
        <v>-79281000</v>
      </c>
    </row>
    <row r="6" spans="2:10" s="234" customFormat="1" ht="18" customHeight="1">
      <c r="B6" s="369" t="s">
        <v>243</v>
      </c>
      <c r="C6" s="406" t="s">
        <v>602</v>
      </c>
      <c r="D6" s="324">
        <f>SUM(D4:D5)</f>
        <v>0</v>
      </c>
      <c r="E6" s="324">
        <f>SUM(E4:E5)</f>
        <v>-119831000</v>
      </c>
      <c r="F6" s="324">
        <f>SUM(F4:F5)</f>
        <v>-115643000</v>
      </c>
      <c r="G6" s="324">
        <f t="shared" ref="G6:I6" si="0">SUM(G4:G5)</f>
        <v>-91258000</v>
      </c>
      <c r="H6" s="324">
        <f t="shared" si="0"/>
        <v>-91258000</v>
      </c>
      <c r="I6" s="324">
        <f t="shared" si="0"/>
        <v>-91258000</v>
      </c>
      <c r="J6" s="324">
        <f>SUM(J4:J5)</f>
        <v>-91258000</v>
      </c>
    </row>
    <row r="7" spans="2:10" s="234" customFormat="1"/>
    <row r="8" spans="2:10" s="234" customFormat="1"/>
    <row r="9" spans="2:10" s="234" customFormat="1">
      <c r="B9" s="190" t="s">
        <v>1239</v>
      </c>
      <c r="C9" s="203"/>
      <c r="D9" s="203"/>
      <c r="E9" s="203"/>
      <c r="F9" s="203"/>
      <c r="G9" s="203"/>
      <c r="H9" s="203"/>
      <c r="I9" s="203"/>
      <c r="J9" s="203"/>
    </row>
    <row r="10" spans="2:10" s="234" customFormat="1">
      <c r="B10" s="204" t="s">
        <v>1338</v>
      </c>
      <c r="C10" s="205" t="s">
        <v>1161</v>
      </c>
      <c r="D10" s="205">
        <v>0</v>
      </c>
      <c r="E10" s="205">
        <v>-40550000</v>
      </c>
      <c r="F10" s="205">
        <v>-36362000</v>
      </c>
      <c r="G10" s="205">
        <v>-11977000</v>
      </c>
      <c r="H10" s="205">
        <v>-11977000</v>
      </c>
      <c r="I10" s="205">
        <v>-11977000</v>
      </c>
      <c r="J10" s="205">
        <v>-11977000</v>
      </c>
    </row>
    <row r="11" spans="2:10" s="234" customFormat="1">
      <c r="B11" s="204" t="s">
        <v>1022</v>
      </c>
      <c r="C11" s="205" t="s">
        <v>1161</v>
      </c>
      <c r="D11" s="205">
        <v>0</v>
      </c>
      <c r="E11" s="205">
        <v>-79281000</v>
      </c>
      <c r="F11" s="205">
        <v>-79281000</v>
      </c>
      <c r="G11" s="205">
        <v>-79281000</v>
      </c>
      <c r="H11" s="205">
        <v>-79281000</v>
      </c>
      <c r="I11" s="205">
        <v>-79281000</v>
      </c>
      <c r="J11" s="205">
        <v>-79281000</v>
      </c>
    </row>
    <row r="12" spans="2:10" s="234" customFormat="1">
      <c r="B12" s="306" t="s">
        <v>243</v>
      </c>
      <c r="C12" s="298"/>
      <c r="D12" s="298">
        <f>D10+D11</f>
        <v>0</v>
      </c>
      <c r="E12" s="298">
        <f>E10+E11</f>
        <v>-119831000</v>
      </c>
      <c r="F12" s="298">
        <f>F10+F11</f>
        <v>-115643000</v>
      </c>
      <c r="G12" s="298">
        <f t="shared" ref="G12:I12" si="1">G10+G11</f>
        <v>-91258000</v>
      </c>
      <c r="H12" s="298">
        <f t="shared" si="1"/>
        <v>-91258000</v>
      </c>
      <c r="I12" s="298">
        <f t="shared" si="1"/>
        <v>-91258000</v>
      </c>
      <c r="J12" s="298">
        <f>J10+J11</f>
        <v>-91258000</v>
      </c>
    </row>
    <row r="13" spans="2:10">
      <c r="B13" s="193" t="s">
        <v>1294</v>
      </c>
      <c r="C13" s="194"/>
      <c r="D13" s="194">
        <f t="shared" ref="D13:J13" si="2">D6-D12</f>
        <v>0</v>
      </c>
      <c r="E13" s="194">
        <f t="shared" si="2"/>
        <v>0</v>
      </c>
      <c r="F13" s="194">
        <f t="shared" ref="F13" si="3">F6-F12</f>
        <v>0</v>
      </c>
      <c r="G13" s="194">
        <f>G6-G12</f>
        <v>0</v>
      </c>
      <c r="H13" s="194">
        <f t="shared" si="2"/>
        <v>0</v>
      </c>
      <c r="I13" s="194">
        <f t="shared" si="2"/>
        <v>0</v>
      </c>
      <c r="J13" s="194">
        <f t="shared" si="2"/>
        <v>0</v>
      </c>
    </row>
  </sheetData>
  <conditionalFormatting sqref="B6:C6">
    <cfRule type="cellIs" dxfId="5" priority="58" operator="lessThan">
      <formula>0</formula>
    </cfRule>
  </conditionalFormatting>
  <conditionalFormatting sqref="J2">
    <cfRule type="cellIs" dxfId="4" priority="4" operator="lessThan">
      <formula>0</formula>
    </cfRule>
  </conditionalFormatting>
  <conditionalFormatting sqref="E2">
    <cfRule type="cellIs" dxfId="3" priority="5" operator="lessThan">
      <formula>0</formula>
    </cfRule>
  </conditionalFormatting>
  <conditionalFormatting sqref="D2">
    <cfRule type="cellIs" dxfId="2" priority="3" operator="lessThan">
      <formula>0</formula>
    </cfRule>
  </conditionalFormatting>
  <conditionalFormatting sqref="G2:I2">
    <cfRule type="cellIs" dxfId="1" priority="2" operator="lessThan">
      <formula>0</formula>
    </cfRule>
  </conditionalFormatting>
  <conditionalFormatting sqref="F2">
    <cfRule type="cellIs" dxfId="0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35"/>
  <dimension ref="B1:L35"/>
  <sheetViews>
    <sheetView showGridLines="0" topLeftCell="A10" zoomScale="115" zoomScaleNormal="115" workbookViewId="0">
      <selection activeCell="E39" sqref="E39"/>
    </sheetView>
  </sheetViews>
  <sheetFormatPr defaultRowHeight="12.75"/>
  <cols>
    <col min="1" max="1" width="10.5703125" customWidth="1"/>
    <col min="2" max="2" width="41.7109375" customWidth="1"/>
    <col min="3" max="3" width="13.140625" customWidth="1"/>
    <col min="4" max="4" width="13.140625" hidden="1" customWidth="1"/>
    <col min="5" max="5" width="13.140625" customWidth="1"/>
    <col min="6" max="6" width="12.140625" customWidth="1"/>
    <col min="7" max="8" width="9.140625" customWidth="1"/>
  </cols>
  <sheetData>
    <row r="1" spans="2:6" ht="15">
      <c r="B1" s="5"/>
      <c r="C1" s="5"/>
      <c r="D1" s="9"/>
      <c r="E1" s="9"/>
    </row>
    <row r="2" spans="2:6" ht="15">
      <c r="B2" s="54" t="s">
        <v>248</v>
      </c>
      <c r="C2" s="55"/>
      <c r="D2" s="53">
        <v>2016</v>
      </c>
      <c r="E2" s="53">
        <v>2015</v>
      </c>
      <c r="F2" s="9"/>
    </row>
    <row r="3" spans="2:6">
      <c r="B3" s="149" t="s">
        <v>1005</v>
      </c>
      <c r="C3" s="149"/>
      <c r="D3" s="150" t="e">
        <f>DRE!#REF!</f>
        <v>#REF!</v>
      </c>
      <c r="E3" s="150">
        <v>528334</v>
      </c>
      <c r="F3" s="4"/>
    </row>
    <row r="4" spans="2:6">
      <c r="B4" s="39" t="s">
        <v>1004</v>
      </c>
      <c r="C4" s="39"/>
      <c r="D4" s="41">
        <v>0</v>
      </c>
      <c r="E4" s="41">
        <v>-457720</v>
      </c>
      <c r="F4" s="4"/>
    </row>
    <row r="5" spans="2:6">
      <c r="B5" s="149" t="s">
        <v>1006</v>
      </c>
      <c r="C5" s="149"/>
      <c r="D5" s="150" t="e">
        <f>D3</f>
        <v>#REF!</v>
      </c>
      <c r="E5" s="150">
        <v>70614</v>
      </c>
      <c r="F5" s="4"/>
    </row>
    <row r="6" spans="2:6">
      <c r="B6" s="39" t="s">
        <v>986</v>
      </c>
      <c r="C6" s="39"/>
      <c r="D6" s="41">
        <v>0</v>
      </c>
      <c r="E6" s="41">
        <v>-1313</v>
      </c>
      <c r="F6" s="4"/>
    </row>
    <row r="7" spans="2:6">
      <c r="B7" s="39" t="s">
        <v>267</v>
      </c>
      <c r="C7" s="39"/>
      <c r="D7" s="41">
        <v>0</v>
      </c>
      <c r="E7" s="41">
        <v>-3465</v>
      </c>
      <c r="F7" s="4"/>
    </row>
    <row r="8" spans="2:6">
      <c r="B8" s="39" t="s">
        <v>609</v>
      </c>
      <c r="C8" s="39"/>
      <c r="D8" s="41">
        <v>0</v>
      </c>
      <c r="E8" s="41">
        <f>E5+E6+E7</f>
        <v>65836</v>
      </c>
    </row>
    <row r="9" spans="2:6">
      <c r="B9" s="39" t="s">
        <v>610</v>
      </c>
      <c r="C9" s="39"/>
      <c r="D9" s="41">
        <f>0.25*D8</f>
        <v>0</v>
      </c>
      <c r="E9" s="41">
        <f>0.25*E8</f>
        <v>16459</v>
      </c>
    </row>
    <row r="10" spans="2:6" s="76" customFormat="1"/>
    <row r="11" spans="2:6" s="76" customFormat="1"/>
    <row r="12" spans="2:6" s="76" customFormat="1"/>
    <row r="13" spans="2:6">
      <c r="B13" s="164" t="s">
        <v>248</v>
      </c>
      <c r="C13" s="172">
        <v>2017</v>
      </c>
      <c r="D13" s="173">
        <v>2016</v>
      </c>
    </row>
    <row r="14" spans="2:6" ht="13.5" customHeight="1">
      <c r="B14" s="174" t="s">
        <v>1005</v>
      </c>
      <c r="C14" s="175">
        <v>46251</v>
      </c>
      <c r="D14" s="175" t="e">
        <f>DRE!#REF!</f>
        <v>#REF!</v>
      </c>
    </row>
    <row r="15" spans="2:6" ht="13.5" hidden="1" customHeight="1">
      <c r="B15" s="39" t="s">
        <v>1004</v>
      </c>
      <c r="C15" s="41"/>
      <c r="D15" s="41">
        <v>0</v>
      </c>
    </row>
    <row r="16" spans="2:6" s="76" customFormat="1" hidden="1">
      <c r="B16" s="149" t="s">
        <v>1006</v>
      </c>
      <c r="C16" s="150"/>
      <c r="D16" s="150" t="e">
        <f>D14</f>
        <v>#REF!</v>
      </c>
    </row>
    <row r="17" spans="2:12" s="76" customFormat="1" hidden="1">
      <c r="B17" s="39" t="s">
        <v>986</v>
      </c>
      <c r="C17" s="41" t="s">
        <v>242</v>
      </c>
      <c r="D17" s="41">
        <v>0</v>
      </c>
    </row>
    <row r="18" spans="2:12" s="76" customFormat="1" ht="12.75" customHeight="1">
      <c r="B18" s="39" t="s">
        <v>267</v>
      </c>
      <c r="C18" s="41">
        <v>0</v>
      </c>
      <c r="D18" s="41">
        <v>0</v>
      </c>
      <c r="E18" s="160"/>
      <c r="F18" s="160"/>
      <c r="G18" s="160"/>
      <c r="H18" s="160"/>
      <c r="I18" s="160"/>
      <c r="J18" s="160"/>
      <c r="K18" s="160"/>
      <c r="L18" s="160"/>
    </row>
    <row r="19" spans="2:12" s="76" customFormat="1">
      <c r="B19" s="39" t="s">
        <v>609</v>
      </c>
      <c r="C19" s="41">
        <v>0</v>
      </c>
      <c r="D19" s="41">
        <v>0</v>
      </c>
      <c r="E19" s="160"/>
      <c r="F19" s="160"/>
      <c r="G19" s="160"/>
      <c r="H19" s="160"/>
      <c r="I19" s="160"/>
      <c r="J19" s="160"/>
      <c r="K19" s="160"/>
      <c r="L19" s="160"/>
    </row>
    <row r="20" spans="2:12" s="76" customFormat="1">
      <c r="B20" s="39" t="s">
        <v>610</v>
      </c>
      <c r="C20" s="41">
        <v>0</v>
      </c>
      <c r="D20" s="41">
        <f>0.25*D19</f>
        <v>0</v>
      </c>
      <c r="E20" s="160"/>
      <c r="F20" s="160"/>
      <c r="G20" s="160"/>
      <c r="H20" s="160"/>
      <c r="I20" s="160"/>
      <c r="J20" s="160"/>
      <c r="K20" s="160"/>
      <c r="L20" s="160"/>
    </row>
    <row r="21" spans="2:12" s="76" customFormat="1"/>
    <row r="22" spans="2:12" s="76" customFormat="1"/>
    <row r="23" spans="2:12" s="76" customFormat="1"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</row>
    <row r="24" spans="2:12" s="76" customFormat="1"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</row>
    <row r="25" spans="2:12" s="76" customFormat="1"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</row>
    <row r="26" spans="2:12" s="37" customFormat="1"/>
    <row r="27" spans="2:12" s="37" customFormat="1"/>
    <row r="28" spans="2:12" s="124" customFormat="1"/>
    <row r="29" spans="2:12" s="124" customFormat="1">
      <c r="I29" s="159"/>
    </row>
    <row r="30" spans="2:12" s="124" customFormat="1">
      <c r="I30" s="159">
        <v>7244</v>
      </c>
    </row>
    <row r="31" spans="2:12" s="124" customFormat="1">
      <c r="I31" s="159">
        <v>1313</v>
      </c>
    </row>
    <row r="32" spans="2:12" s="124" customFormat="1"/>
    <row r="33" s="124" customFormat="1"/>
    <row r="34" s="124" customFormat="1"/>
    <row r="35" s="124" customFormat="1"/>
  </sheetData>
  <mergeCells count="1">
    <mergeCell ref="B23:L25"/>
  </mergeCells>
  <phoneticPr fontId="2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36"/>
  <dimension ref="A2:AB49"/>
  <sheetViews>
    <sheetView zoomScale="130" zoomScaleNormal="130" workbookViewId="0">
      <selection activeCell="C2" sqref="C2:E11"/>
    </sheetView>
  </sheetViews>
  <sheetFormatPr defaultRowHeight="12.75"/>
  <cols>
    <col min="1" max="2" width="9.140625" style="93"/>
    <col min="3" max="3" width="39.7109375" bestFit="1" customWidth="1"/>
    <col min="4" max="5" width="10.7109375" customWidth="1"/>
    <col min="6" max="6" width="10.7109375" hidden="1" customWidth="1"/>
    <col min="7" max="7" width="13" style="93" bestFit="1" customWidth="1"/>
    <col min="8" max="28" width="9.140625" style="93"/>
  </cols>
  <sheetData>
    <row r="2" spans="1:7">
      <c r="C2" s="165" t="s">
        <v>1003</v>
      </c>
      <c r="D2" s="185" t="s">
        <v>1226</v>
      </c>
      <c r="E2" s="168" t="s">
        <v>1227</v>
      </c>
      <c r="F2" s="53">
        <v>2015</v>
      </c>
    </row>
    <row r="3" spans="1:7">
      <c r="A3" s="109" t="s">
        <v>186</v>
      </c>
      <c r="C3" s="169" t="s">
        <v>256</v>
      </c>
      <c r="D3" s="40">
        <f>D4+D5</f>
        <v>2821931</v>
      </c>
      <c r="E3" s="40">
        <v>2903635.6965699997</v>
      </c>
      <c r="F3" s="40">
        <v>1201233</v>
      </c>
      <c r="G3" s="95"/>
    </row>
    <row r="4" spans="1:7">
      <c r="A4" s="109" t="s">
        <v>327</v>
      </c>
      <c r="C4" s="166" t="s">
        <v>606</v>
      </c>
      <c r="D4" s="41">
        <v>4000000</v>
      </c>
      <c r="E4" s="41">
        <v>4000000</v>
      </c>
      <c r="F4" s="41">
        <v>4000000</v>
      </c>
    </row>
    <row r="5" spans="1:7">
      <c r="A5" s="109" t="s">
        <v>193</v>
      </c>
      <c r="C5" s="166" t="s">
        <v>607</v>
      </c>
      <c r="D5" s="41">
        <v>-1178069</v>
      </c>
      <c r="E5" s="41">
        <v>-1096364.3034300001</v>
      </c>
      <c r="F5" s="41">
        <v>-2798767</v>
      </c>
      <c r="G5" s="111"/>
    </row>
    <row r="6" spans="1:7">
      <c r="C6" s="169" t="s">
        <v>257</v>
      </c>
      <c r="D6" s="40">
        <f>D7</f>
        <v>143363</v>
      </c>
      <c r="E6" s="40">
        <v>143363</v>
      </c>
      <c r="F6" s="40">
        <v>1411356</v>
      </c>
      <c r="G6" s="111"/>
    </row>
    <row r="7" spans="1:7">
      <c r="C7" s="166" t="s">
        <v>608</v>
      </c>
      <c r="D7" s="41">
        <v>143363</v>
      </c>
      <c r="E7" s="41">
        <v>143363</v>
      </c>
      <c r="F7" s="41">
        <v>1411356</v>
      </c>
    </row>
    <row r="8" spans="1:7" hidden="1">
      <c r="C8" s="166" t="s">
        <v>267</v>
      </c>
      <c r="D8" s="41">
        <v>0</v>
      </c>
      <c r="E8" s="41">
        <v>110409</v>
      </c>
      <c r="F8" s="41">
        <v>147602</v>
      </c>
    </row>
    <row r="9" spans="1:7" hidden="1">
      <c r="C9" s="166" t="s">
        <v>1122</v>
      </c>
      <c r="D9" s="41">
        <v>0</v>
      </c>
      <c r="E9" s="41">
        <v>32954</v>
      </c>
      <c r="F9" s="41">
        <v>1263754</v>
      </c>
    </row>
    <row r="10" spans="1:7">
      <c r="C10" s="170" t="s">
        <v>611</v>
      </c>
      <c r="D10" s="40">
        <v>244882</v>
      </c>
      <c r="E10" s="40">
        <v>389196</v>
      </c>
      <c r="F10" s="40">
        <v>318889</v>
      </c>
    </row>
    <row r="11" spans="1:7">
      <c r="C11" s="165" t="s">
        <v>243</v>
      </c>
      <c r="D11" s="148">
        <f>D3+D6+D10</f>
        <v>3210176</v>
      </c>
      <c r="E11" s="148">
        <v>3436194.6965699997</v>
      </c>
      <c r="F11" s="148">
        <v>2931478</v>
      </c>
      <c r="G11" s="100"/>
    </row>
    <row r="12" spans="1:7" s="93" customFormat="1">
      <c r="C12" s="61"/>
      <c r="D12" s="61"/>
    </row>
    <row r="13" spans="1:7" s="93" customFormat="1"/>
    <row r="14" spans="1:7" s="93" customFormat="1"/>
    <row r="15" spans="1:7" s="93" customFormat="1"/>
    <row r="16" spans="1:7" s="93" customFormat="1"/>
    <row r="17" spans="3:7" s="93" customFormat="1"/>
    <row r="18" spans="3:7" s="93" customFormat="1"/>
    <row r="19" spans="3:7" s="93" customFormat="1"/>
    <row r="20" spans="3:7" s="93" customFormat="1">
      <c r="C20" s="158" t="s">
        <v>601</v>
      </c>
      <c r="D20" s="167"/>
      <c r="E20" s="35" t="e">
        <f>IF(E3=BP!#REF!,"Sim","Não")</f>
        <v>#REF!</v>
      </c>
    </row>
    <row r="21" spans="3:7" s="93" customFormat="1">
      <c r="C21" s="158" t="s">
        <v>688</v>
      </c>
      <c r="D21" s="167"/>
      <c r="E21" s="35" t="s">
        <v>689</v>
      </c>
    </row>
    <row r="22" spans="3:7" s="93" customFormat="1"/>
    <row r="23" spans="3:7" s="93" customFormat="1"/>
    <row r="24" spans="3:7" s="93" customFormat="1"/>
    <row r="25" spans="3:7" s="93" customFormat="1"/>
    <row r="26" spans="3:7" s="93" customFormat="1"/>
    <row r="27" spans="3:7" s="93" customFormat="1"/>
    <row r="28" spans="3:7" s="93" customFormat="1"/>
    <row r="29" spans="3:7" s="93" customFormat="1"/>
    <row r="30" spans="3:7" s="93" customFormat="1"/>
    <row r="31" spans="3:7" s="93" customFormat="1"/>
    <row r="32" spans="3:7" s="93" customFormat="1">
      <c r="G32" s="109"/>
    </row>
    <row r="33" s="93" customFormat="1"/>
    <row r="34" s="93" customFormat="1"/>
    <row r="35" s="93" customFormat="1"/>
    <row r="36" s="93" customFormat="1"/>
    <row r="37" s="93" customFormat="1"/>
    <row r="38" s="93" customFormat="1"/>
    <row r="39" s="93" customFormat="1"/>
    <row r="40" s="93" customFormat="1"/>
    <row r="41" s="93" customFormat="1"/>
    <row r="42" s="93" customFormat="1"/>
    <row r="43" s="93" customFormat="1"/>
    <row r="44" s="93" customFormat="1"/>
    <row r="45" s="93" customFormat="1"/>
    <row r="46" s="93" customFormat="1"/>
    <row r="47" s="93" customFormat="1"/>
    <row r="48" s="93" customFormat="1"/>
    <row r="49" s="93" customFormat="1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48"/>
  <dimension ref="B2:I24"/>
  <sheetViews>
    <sheetView showGridLines="0" zoomScale="130" zoomScaleNormal="130" workbookViewId="0">
      <selection activeCell="N22" sqref="N22"/>
    </sheetView>
  </sheetViews>
  <sheetFormatPr defaultRowHeight="12.75"/>
  <cols>
    <col min="2" max="2" width="13.85546875" bestFit="1" customWidth="1"/>
    <col min="3" max="3" width="16.7109375" customWidth="1"/>
    <col min="4" max="4" width="16.7109375" hidden="1" customWidth="1"/>
    <col min="5" max="5" width="16.7109375" customWidth="1"/>
    <col min="6" max="8" width="16.7109375" hidden="1" customWidth="1"/>
  </cols>
  <sheetData>
    <row r="2" spans="2:9">
      <c r="B2" s="52" t="s">
        <v>248</v>
      </c>
      <c r="C2" s="509">
        <v>2017</v>
      </c>
      <c r="D2" s="509"/>
      <c r="E2" s="509">
        <v>2016</v>
      </c>
      <c r="F2" s="509"/>
      <c r="G2" s="509">
        <v>2015</v>
      </c>
      <c r="H2" s="509"/>
    </row>
    <row r="3" spans="2:9">
      <c r="B3" s="42" t="s">
        <v>252</v>
      </c>
      <c r="C3" s="43" t="s">
        <v>262</v>
      </c>
      <c r="D3" s="43" t="s">
        <v>263</v>
      </c>
      <c r="E3" s="43" t="s">
        <v>262</v>
      </c>
      <c r="F3" s="43" t="s">
        <v>263</v>
      </c>
      <c r="G3" s="43" t="s">
        <v>262</v>
      </c>
      <c r="H3" s="43" t="s">
        <v>263</v>
      </c>
    </row>
    <row r="4" spans="2:9">
      <c r="B4" s="39" t="s">
        <v>264</v>
      </c>
      <c r="C4" s="171">
        <v>0</v>
      </c>
      <c r="D4" s="171">
        <v>0</v>
      </c>
      <c r="E4" s="44">
        <v>50240</v>
      </c>
      <c r="F4" s="44">
        <v>26247</v>
      </c>
      <c r="G4" s="44">
        <v>47621</v>
      </c>
      <c r="H4" s="44">
        <v>36137</v>
      </c>
    </row>
    <row r="5" spans="2:9">
      <c r="B5" s="39" t="s">
        <v>265</v>
      </c>
      <c r="C5" s="171">
        <v>0</v>
      </c>
      <c r="D5" s="171">
        <v>0</v>
      </c>
      <c r="E5" s="44">
        <v>40821</v>
      </c>
      <c r="F5" s="44">
        <v>14984</v>
      </c>
      <c r="G5" s="44">
        <v>38693</v>
      </c>
      <c r="H5" s="44">
        <v>15151</v>
      </c>
      <c r="I5" s="51"/>
    </row>
    <row r="6" spans="2:9">
      <c r="B6" s="39" t="s">
        <v>266</v>
      </c>
      <c r="C6" s="171">
        <v>0</v>
      </c>
      <c r="D6" s="171">
        <v>0</v>
      </c>
      <c r="E6" s="44">
        <v>35588</v>
      </c>
      <c r="F6" s="44">
        <v>10968</v>
      </c>
      <c r="G6" s="44">
        <v>33732</v>
      </c>
      <c r="H6" s="44">
        <v>10155</v>
      </c>
    </row>
    <row r="10" spans="2:9" ht="15">
      <c r="B10" s="9"/>
      <c r="C10" s="9"/>
      <c r="D10" s="9"/>
    </row>
    <row r="11" spans="2:9" ht="15">
      <c r="B11" s="18"/>
      <c r="C11" s="18"/>
      <c r="D11" s="18"/>
      <c r="E11" s="15"/>
      <c r="F11" s="15"/>
    </row>
    <row r="12" spans="2:9" ht="14.25">
      <c r="B12" s="8"/>
      <c r="C12" s="8"/>
      <c r="D12" s="8"/>
      <c r="E12" s="11"/>
      <c r="F12" s="11"/>
    </row>
    <row r="13" spans="2:9" ht="14.25">
      <c r="B13" s="8"/>
      <c r="C13" s="8"/>
      <c r="D13" s="8"/>
      <c r="E13" s="11"/>
      <c r="F13" s="11"/>
    </row>
    <row r="14" spans="2:9" ht="14.25">
      <c r="B14" s="8"/>
      <c r="C14" s="8"/>
      <c r="D14" s="8"/>
      <c r="E14" s="11"/>
      <c r="F14" s="11"/>
    </row>
    <row r="15" spans="2:9" ht="14.25">
      <c r="B15" s="8"/>
      <c r="C15" s="8"/>
      <c r="D15" s="8"/>
      <c r="E15" s="11"/>
      <c r="F15" s="11"/>
    </row>
    <row r="16" spans="2:9" ht="14.25">
      <c r="B16" s="8"/>
      <c r="C16" s="8"/>
      <c r="D16" s="8"/>
      <c r="E16" s="11"/>
      <c r="F16" s="11"/>
    </row>
    <row r="17" spans="2:6" ht="14.25">
      <c r="B17" s="8"/>
      <c r="C17" s="8"/>
      <c r="D17" s="8"/>
      <c r="E17" s="11"/>
      <c r="F17" s="11"/>
    </row>
    <row r="18" spans="2:6" ht="14.25">
      <c r="B18" s="8"/>
      <c r="C18" s="8"/>
      <c r="D18" s="8"/>
      <c r="E18" s="11"/>
      <c r="F18" s="11"/>
    </row>
    <row r="19" spans="2:6" ht="14.25">
      <c r="B19" s="8"/>
      <c r="C19" s="8"/>
      <c r="D19" s="8"/>
      <c r="E19" s="11"/>
      <c r="F19" s="11"/>
    </row>
    <row r="20" spans="2:6" ht="14.25">
      <c r="B20" s="8"/>
      <c r="C20" s="8"/>
      <c r="D20" s="8"/>
      <c r="E20" s="11"/>
      <c r="F20" s="11"/>
    </row>
    <row r="21" spans="2:6" ht="14.25">
      <c r="B21" s="8"/>
      <c r="C21" s="8"/>
      <c r="D21" s="8"/>
      <c r="E21" s="11"/>
      <c r="F21" s="11"/>
    </row>
    <row r="22" spans="2:6" ht="14.25">
      <c r="B22" s="8"/>
      <c r="C22" s="8"/>
      <c r="D22" s="8"/>
      <c r="E22" s="11"/>
      <c r="F22" s="11"/>
    </row>
    <row r="23" spans="2:6" ht="14.25">
      <c r="B23" s="8"/>
      <c r="C23" s="8"/>
      <c r="D23" s="8"/>
      <c r="E23" s="11"/>
      <c r="F23" s="11"/>
    </row>
    <row r="24" spans="2:6" ht="14.25">
      <c r="B24" s="8"/>
      <c r="C24" s="8"/>
      <c r="D24" s="8"/>
      <c r="E24" s="11"/>
      <c r="F24" s="11"/>
    </row>
  </sheetData>
  <mergeCells count="3">
    <mergeCell ref="E2:F2"/>
    <mergeCell ref="G2:H2"/>
    <mergeCell ref="C2:D2"/>
  </mergeCells>
  <phoneticPr fontId="2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49"/>
  <dimension ref="A1:C13"/>
  <sheetViews>
    <sheetView showGridLines="0" topLeftCell="A25" workbookViewId="0">
      <selection activeCell="B36" sqref="B36"/>
    </sheetView>
  </sheetViews>
  <sheetFormatPr defaultRowHeight="12.75"/>
  <cols>
    <col min="1" max="1" width="70.28515625" customWidth="1"/>
    <col min="2" max="2" width="9.5703125" bestFit="1" customWidth="1"/>
    <col min="3" max="3" width="7.28515625" bestFit="1" customWidth="1"/>
  </cols>
  <sheetData>
    <row r="1" spans="1:3" ht="15" hidden="1" customHeight="1">
      <c r="A1" s="5"/>
      <c r="B1" s="13">
        <v>2013</v>
      </c>
      <c r="C1" s="13">
        <v>2012</v>
      </c>
    </row>
    <row r="2" spans="1:3" ht="15" hidden="1" customHeight="1">
      <c r="A2" s="10" t="s">
        <v>248</v>
      </c>
      <c r="B2" s="12"/>
      <c r="C2" s="12"/>
    </row>
    <row r="3" spans="1:3" ht="14.25" hidden="1" customHeight="1" thickBot="1">
      <c r="A3" s="8" t="s">
        <v>258</v>
      </c>
      <c r="B3" s="17" t="e">
        <f>SUM(B4:B6)</f>
        <v>#REF!</v>
      </c>
      <c r="C3" s="17">
        <v>6837.1592299999993</v>
      </c>
    </row>
    <row r="4" spans="1:3" ht="14.25" hidden="1" customHeight="1">
      <c r="A4" s="8" t="s">
        <v>259</v>
      </c>
      <c r="B4" s="16" t="e">
        <f>SUMIF('Balancete 2015'!#REF!, "Despesas com manutenção",'Balancete 2015'!D:D)/1000</f>
        <v>#REF!</v>
      </c>
      <c r="C4" s="16">
        <v>488.27618999999999</v>
      </c>
    </row>
    <row r="5" spans="1:3" ht="14.25" hidden="1" customHeight="1">
      <c r="A5" s="8" t="s">
        <v>260</v>
      </c>
      <c r="B5" s="16">
        <f>1213000/1000</f>
        <v>1213</v>
      </c>
      <c r="C5" s="16">
        <v>5760.0953499999996</v>
      </c>
    </row>
    <row r="6" spans="1:3" ht="14.25" hidden="1" customHeight="1">
      <c r="A6" s="8" t="s">
        <v>331</v>
      </c>
      <c r="B6" s="16" t="e">
        <f>SUMIF('Balancete 2015'!#REF!, "Diversas",'Balancete 2015'!D:D)/1000</f>
        <v>#REF!</v>
      </c>
      <c r="C6" s="16">
        <v>588.78769</v>
      </c>
    </row>
    <row r="7" spans="1:3" ht="12.75" hidden="1" customHeight="1"/>
    <row r="8" spans="1:3" ht="15">
      <c r="A8" s="5"/>
      <c r="B8" s="14"/>
      <c r="C8" s="14"/>
    </row>
    <row r="9" spans="1:3" ht="15">
      <c r="A9" s="20" t="s">
        <v>248</v>
      </c>
      <c r="B9" s="23">
        <v>2013</v>
      </c>
      <c r="C9" s="23">
        <v>2012</v>
      </c>
    </row>
    <row r="10" spans="1:3" ht="14.25">
      <c r="A10" s="19" t="s">
        <v>250</v>
      </c>
      <c r="B10" s="22" t="e">
        <f>SUMIF('Balancete 2015'!#REF!, "Manutencao", 'Balancete 2015'!D:D)/1000</f>
        <v>#REF!</v>
      </c>
      <c r="C10" s="22">
        <v>488.27618999999999</v>
      </c>
    </row>
    <row r="11" spans="1:3" ht="14.25">
      <c r="A11" s="19" t="s">
        <v>251</v>
      </c>
      <c r="B11" s="22">
        <f>1213000/1000</f>
        <v>1213</v>
      </c>
      <c r="C11" s="22">
        <v>5760.0953499999996</v>
      </c>
    </row>
    <row r="12" spans="1:3" ht="14.25">
      <c r="A12" s="19" t="s">
        <v>306</v>
      </c>
      <c r="B12" s="22" t="e">
        <f>SUMIF('Balancete 2015'!#REF!, "Diversas",'Balancete 2015'!D:D)/1000</f>
        <v>#REF!</v>
      </c>
      <c r="C12" s="22">
        <v>588.78769</v>
      </c>
    </row>
    <row r="13" spans="1:3" ht="15">
      <c r="A13" s="21" t="s">
        <v>307</v>
      </c>
      <c r="B13" s="24" t="e">
        <f>B10+B11+B12</f>
        <v>#REF!</v>
      </c>
      <c r="C13" s="24">
        <v>6837.1592299999993</v>
      </c>
    </row>
  </sheetData>
  <phoneticPr fontId="2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778</Categoria>
    <PublishingStartDate xmlns="http://schemas.microsoft.com/sharepoint/v3" xsi:nil="true"/>
    <Descricao xmlns="24003ef3-82b1-4b90-adc4-89fb7d24a536">Demonstrações Financeiras 2º Trimestre 2020 - CAIXA Participações S.A. – arquivo editável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DFC601E1-8C6E-4796-8A9A-189C6FCBCDBA}"/>
</file>

<file path=customXml/itemProps2.xml><?xml version="1.0" encoding="utf-8"?>
<ds:datastoreItem xmlns:ds="http://schemas.openxmlformats.org/officeDocument/2006/customXml" ds:itemID="{692E58F3-5A5E-4B70-BE08-DB65228E8158}"/>
</file>

<file path=customXml/itemProps3.xml><?xml version="1.0" encoding="utf-8"?>
<ds:datastoreItem xmlns:ds="http://schemas.openxmlformats.org/officeDocument/2006/customXml" ds:itemID="{72CE6673-56DB-4819-B936-ED9DD7ABB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Balancete 2014</vt:lpstr>
      <vt:lpstr>Bal 2015 alt pl</vt:lpstr>
      <vt:lpstr>1 sem.15</vt:lpstr>
      <vt:lpstr>Balancete 2015</vt:lpstr>
      <vt:lpstr>Balancete 2016</vt:lpstr>
      <vt:lpstr>Balancete 2017</vt:lpstr>
      <vt:lpstr>Especificação - Patrimoniais </vt:lpstr>
      <vt:lpstr>Especificação - Resultado</vt:lpstr>
      <vt:lpstr>BP</vt:lpstr>
      <vt:lpstr>DRE</vt:lpstr>
      <vt:lpstr>DRA</vt:lpstr>
      <vt:lpstr>N2.1 cisão</vt:lpstr>
      <vt:lpstr>DMPL</vt:lpstr>
      <vt:lpstr>DFC</vt:lpstr>
      <vt:lpstr>DVA</vt:lpstr>
      <vt:lpstr>N5(e)</vt:lpstr>
      <vt:lpstr>N6(a)</vt:lpstr>
      <vt:lpstr>N10 </vt:lpstr>
      <vt:lpstr>N10 (e)</vt:lpstr>
      <vt:lpstr>N15 (d2)</vt:lpstr>
      <vt:lpstr>Outras desp adms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Demonstrações Financeiras 2º Trimestre 2020 – arquivo editável</dc:title>
  <dc:creator>Administrador</dc:creator>
  <cp:lastModifiedBy>Evander Klimach Guimaraes</cp:lastModifiedBy>
  <cp:lastPrinted>2020-02-01T06:35:35Z</cp:lastPrinted>
  <dcterms:created xsi:type="dcterms:W3CDTF">2013-10-30T15:52:48Z</dcterms:created>
  <dcterms:modified xsi:type="dcterms:W3CDTF">2020-10-29T14:06:33Z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8ac7aa-230a-49d4-af43-c1ab71d0c293_Enabled">
    <vt:lpwstr>True</vt:lpwstr>
  </property>
  <property fmtid="{D5CDD505-2E9C-101B-9397-08002B2CF9AE}" pid="3" name="MSIP_Label_218ac7aa-230a-49d4-af43-c1ab71d0c293_SiteId">
    <vt:lpwstr>ab9bba98-684a-43fb-add8-9c2bebede229</vt:lpwstr>
  </property>
  <property fmtid="{D5CDD505-2E9C-101B-9397-08002B2CF9AE}" pid="4" name="MSIP_Label_218ac7aa-230a-49d4-af43-c1ab71d0c293_Owner">
    <vt:lpwstr>c072696@corp.caixa.gov.br</vt:lpwstr>
  </property>
  <property fmtid="{D5CDD505-2E9C-101B-9397-08002B2CF9AE}" pid="5" name="MSIP_Label_218ac7aa-230a-49d4-af43-c1ab71d0c293_SetDate">
    <vt:lpwstr>2020-01-08T23:34:32.5498965Z</vt:lpwstr>
  </property>
  <property fmtid="{D5CDD505-2E9C-101B-9397-08002B2CF9AE}" pid="6" name="MSIP_Label_218ac7aa-230a-49d4-af43-c1ab71d0c293_Name">
    <vt:lpwstr>#CONFIDENCIAL</vt:lpwstr>
  </property>
  <property fmtid="{D5CDD505-2E9C-101B-9397-08002B2CF9AE}" pid="7" name="MSIP_Label_218ac7aa-230a-49d4-af43-c1ab71d0c293_Application">
    <vt:lpwstr>Microsoft Azure Information Protection</vt:lpwstr>
  </property>
  <property fmtid="{D5CDD505-2E9C-101B-9397-08002B2CF9AE}" pid="8" name="MSIP_Label_218ac7aa-230a-49d4-af43-c1ab71d0c293_ActionId">
    <vt:lpwstr>a14f1e39-a010-46c2-9999-81844901732b</vt:lpwstr>
  </property>
  <property fmtid="{D5CDD505-2E9C-101B-9397-08002B2CF9AE}" pid="9" name="MSIP_Label_218ac7aa-230a-49d4-af43-c1ab71d0c293_Extended_MSFT_Method">
    <vt:lpwstr>Manual</vt:lpwstr>
  </property>
  <property fmtid="{D5CDD505-2E9C-101B-9397-08002B2CF9AE}" pid="10" name="MSIP_Label_d28e3ccc-a2d5-47ef-a346-8b41b705012e_Enabled">
    <vt:lpwstr>True</vt:lpwstr>
  </property>
  <property fmtid="{D5CDD505-2E9C-101B-9397-08002B2CF9AE}" pid="11" name="MSIP_Label_d28e3ccc-a2d5-47ef-a346-8b41b705012e_SiteId">
    <vt:lpwstr>ab9bba98-684a-43fb-add8-9c2bebede229</vt:lpwstr>
  </property>
  <property fmtid="{D5CDD505-2E9C-101B-9397-08002B2CF9AE}" pid="12" name="MSIP_Label_d28e3ccc-a2d5-47ef-a346-8b41b705012e_Owner">
    <vt:lpwstr>c072696@corp.caixa.gov.br</vt:lpwstr>
  </property>
  <property fmtid="{D5CDD505-2E9C-101B-9397-08002B2CF9AE}" pid="13" name="MSIP_Label_d28e3ccc-a2d5-47ef-a346-8b41b705012e_SetDate">
    <vt:lpwstr>2020-01-08T23:34:32.5498965Z</vt:lpwstr>
  </property>
  <property fmtid="{D5CDD505-2E9C-101B-9397-08002B2CF9AE}" pid="14" name="MSIP_Label_d28e3ccc-a2d5-47ef-a346-8b41b705012e_Name">
    <vt:lpwstr>#CONFIDENCIAL 05</vt:lpwstr>
  </property>
  <property fmtid="{D5CDD505-2E9C-101B-9397-08002B2CF9AE}" pid="15" name="MSIP_Label_d28e3ccc-a2d5-47ef-a346-8b41b705012e_Application">
    <vt:lpwstr>Microsoft Azure Information Protection</vt:lpwstr>
  </property>
  <property fmtid="{D5CDD505-2E9C-101B-9397-08002B2CF9AE}" pid="16" name="MSIP_Label_d28e3ccc-a2d5-47ef-a346-8b41b705012e_ActionId">
    <vt:lpwstr>a14f1e39-a010-46c2-9999-81844901732b</vt:lpwstr>
  </property>
  <property fmtid="{D5CDD505-2E9C-101B-9397-08002B2CF9AE}" pid="17" name="MSIP_Label_d28e3ccc-a2d5-47ef-a346-8b41b705012e_Parent">
    <vt:lpwstr>218ac7aa-230a-49d4-af43-c1ab71d0c293</vt:lpwstr>
  </property>
  <property fmtid="{D5CDD505-2E9C-101B-9397-08002B2CF9AE}" pid="18" name="MSIP_Label_d28e3ccc-a2d5-47ef-a346-8b41b705012e_Extended_MSFT_Method">
    <vt:lpwstr>Manual</vt:lpwstr>
  </property>
  <property fmtid="{D5CDD505-2E9C-101B-9397-08002B2CF9AE}" pid="19" name="Sensitivity">
    <vt:lpwstr>#CONFIDENCIAL #CONFIDENCIAL 05</vt:lpwstr>
  </property>
  <property fmtid="{D5CDD505-2E9C-101B-9397-08002B2CF9AE}" pid="20" name="DLPManualFileClassification">
    <vt:lpwstr>{1A067545-A4E2-4FA1-8094-0D7902669705}</vt:lpwstr>
  </property>
  <property fmtid="{D5CDD505-2E9C-101B-9397-08002B2CF9AE}" pid="21" name="DLPManualFileClassificationLastModifiedBy">
    <vt:lpwstr>CORPCAIXA\c141943</vt:lpwstr>
  </property>
  <property fmtid="{D5CDD505-2E9C-101B-9397-08002B2CF9AE}" pid="22" name="DLPManualFileClassificationLastModificationDate">
    <vt:lpwstr>1582304985</vt:lpwstr>
  </property>
  <property fmtid="{D5CDD505-2E9C-101B-9397-08002B2CF9AE}" pid="23" name="DLPManualFileClassificationVersion">
    <vt:lpwstr>11.4.0.45</vt:lpwstr>
  </property>
  <property fmtid="{D5CDD505-2E9C-101B-9397-08002B2CF9AE}" pid="24" name="ContentTypeId">
    <vt:lpwstr>0x010100CF76F4B785416546AF6C2D86C3CC016B005D01BA318CA0B74D97E7A6AFBDE9293C</vt:lpwstr>
  </property>
</Properties>
</file>