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arquivos.caixa\BR\DF8998FS201\DIGOR\2 GEPAC\03 GESTÃO ORÇAMENTARIA\01 INFORMAÇÕES CONTÁBEIS\1 - Demonstrações_Relatórios Trimestrais e Balancetes\2021\1º Trimestre 2021 - DF's\"/>
    </mc:Choice>
  </mc:AlternateContent>
  <xr:revisionPtr revIDLastSave="0" documentId="13_ncr:1_{575A7542-2CC0-40D6-8A5C-91627412B0D6}" xr6:coauthVersionLast="45" xr6:coauthVersionMax="45" xr10:uidLastSave="{00000000-0000-0000-0000-000000000000}"/>
  <bookViews>
    <workbookView xWindow="-120" yWindow="-120" windowWidth="24240" windowHeight="13140" tabRatio="881" firstSheet="8" activeTab="8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N2.1 cisão" sheetId="50" state="hidden" r:id="rId12"/>
    <sheet name="DMPL" sheetId="95" r:id="rId13"/>
    <sheet name="DFC" sheetId="45" r:id="rId14"/>
    <sheet name="DVA" sheetId="63" r:id="rId15"/>
    <sheet name="N5(e)" sheetId="39" state="hidden" r:id="rId16"/>
    <sheet name="N6(a)" sheetId="76" state="hidden" r:id="rId17"/>
    <sheet name="N10 " sheetId="24" state="hidden" r:id="rId18"/>
    <sheet name="N10 (e)" sheetId="51" state="hidden" r:id="rId19"/>
    <sheet name="N15 (d2)" sheetId="30" state="hidden" r:id="rId20"/>
    <sheet name="Outras desp adms" sheetId="27" state="hidden" r:id="rId21"/>
  </sheets>
  <externalReferences>
    <externalReference r:id="rId22"/>
  </externalReferences>
  <definedNames>
    <definedName name="_xlnm._FilterDatabase" localSheetId="12" hidden="1">DMPL!$A$4:$Q$83</definedName>
    <definedName name="_xlnm._FilterDatabase" localSheetId="14" hidden="1">DVA!$A$3:$D$41</definedName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COD_SINAF" localSheetId="12">[1]Aux!$B$38:$B$72</definedName>
    <definedName name="COD_SINAF" localSheetId="16">#REF!</definedName>
    <definedName name="COD_SINAF">#REF!</definedName>
    <definedName name="DF7436SR644_GECTCFGTS001_CXPAR_DISP" localSheetId="13" hidden="1">DFC!#REF!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95" l="1"/>
  <c r="M21" i="95" s="1"/>
  <c r="L64" i="95"/>
  <c r="K60" i="95"/>
  <c r="M60" i="95" s="1"/>
  <c r="K57" i="95"/>
  <c r="K45" i="95"/>
  <c r="J45" i="95"/>
  <c r="I45" i="95"/>
  <c r="H45" i="95"/>
  <c r="L24" i="95"/>
  <c r="M24" i="95" s="1"/>
  <c r="L22" i="95"/>
  <c r="M22" i="95" s="1"/>
  <c r="K20" i="95"/>
  <c r="K17" i="95"/>
  <c r="K5" i="95"/>
  <c r="J5" i="95"/>
  <c r="I5" i="95"/>
  <c r="H5" i="95"/>
  <c r="M62" i="95"/>
  <c r="M6" i="95"/>
  <c r="M7" i="95"/>
  <c r="M8" i="95"/>
  <c r="M9" i="95"/>
  <c r="H11" i="95"/>
  <c r="I11" i="95"/>
  <c r="J11" i="95"/>
  <c r="K11" i="95"/>
  <c r="L11" i="95"/>
  <c r="M12" i="95"/>
  <c r="M13" i="95"/>
  <c r="M14" i="95"/>
  <c r="M15" i="95"/>
  <c r="M16" i="95"/>
  <c r="H17" i="95"/>
  <c r="I17" i="95"/>
  <c r="J17" i="95"/>
  <c r="L17" i="95"/>
  <c r="M18" i="95"/>
  <c r="M19" i="95"/>
  <c r="M20" i="95"/>
  <c r="M23" i="95"/>
  <c r="H27" i="95"/>
  <c r="I27" i="95"/>
  <c r="J27" i="95"/>
  <c r="K27" i="95"/>
  <c r="L27" i="95"/>
  <c r="M28" i="95"/>
  <c r="M27" i="95" s="1"/>
  <c r="H29" i="95"/>
  <c r="I29" i="95"/>
  <c r="J29" i="95"/>
  <c r="K29" i="95"/>
  <c r="L29" i="95"/>
  <c r="M30" i="95"/>
  <c r="M29" i="95" s="1"/>
  <c r="H31" i="95"/>
  <c r="I31" i="95"/>
  <c r="J31" i="95"/>
  <c r="K31" i="95"/>
  <c r="L31" i="95"/>
  <c r="M32" i="95"/>
  <c r="M31" i="95" s="1"/>
  <c r="H33" i="95"/>
  <c r="I33" i="95"/>
  <c r="J33" i="95"/>
  <c r="K33" i="95"/>
  <c r="L33" i="95"/>
  <c r="M34" i="95"/>
  <c r="M33" i="95" s="1"/>
  <c r="H35" i="95"/>
  <c r="I35" i="95"/>
  <c r="J35" i="95"/>
  <c r="K35" i="95"/>
  <c r="L35" i="95"/>
  <c r="M36" i="95"/>
  <c r="M35" i="95" s="1"/>
  <c r="H37" i="95"/>
  <c r="I37" i="95"/>
  <c r="J37" i="95"/>
  <c r="K37" i="95"/>
  <c r="L37" i="95"/>
  <c r="M38" i="95"/>
  <c r="M37" i="95" s="1"/>
  <c r="H39" i="95"/>
  <c r="I39" i="95"/>
  <c r="J39" i="95"/>
  <c r="K39" i="95"/>
  <c r="L39" i="95"/>
  <c r="M40" i="95"/>
  <c r="M39" i="95" s="1"/>
  <c r="H41" i="95"/>
  <c r="I41" i="95"/>
  <c r="J41" i="95"/>
  <c r="K41" i="95"/>
  <c r="L41" i="95"/>
  <c r="M42" i="95"/>
  <c r="M41" i="95" s="1"/>
  <c r="M46" i="95"/>
  <c r="M47" i="95"/>
  <c r="M48" i="95"/>
  <c r="M49" i="95"/>
  <c r="H51" i="95"/>
  <c r="I51" i="95"/>
  <c r="J51" i="95"/>
  <c r="K51" i="95"/>
  <c r="L51" i="95"/>
  <c r="M52" i="95"/>
  <c r="M53" i="95"/>
  <c r="M54" i="95"/>
  <c r="M55" i="95"/>
  <c r="M56" i="95"/>
  <c r="H57" i="95"/>
  <c r="I57" i="95"/>
  <c r="J57" i="95"/>
  <c r="L57" i="95"/>
  <c r="M58" i="95"/>
  <c r="M59" i="95"/>
  <c r="M61" i="95"/>
  <c r="M63" i="95"/>
  <c r="M64" i="95"/>
  <c r="H67" i="95"/>
  <c r="I67" i="95"/>
  <c r="J67" i="95"/>
  <c r="K67" i="95"/>
  <c r="L67" i="95"/>
  <c r="M68" i="95"/>
  <c r="M67" i="95" s="1"/>
  <c r="H69" i="95"/>
  <c r="I69" i="95"/>
  <c r="J69" i="95"/>
  <c r="K69" i="95"/>
  <c r="L69" i="95"/>
  <c r="M70" i="95"/>
  <c r="M69" i="95" s="1"/>
  <c r="H71" i="95"/>
  <c r="I71" i="95"/>
  <c r="J71" i="95"/>
  <c r="K71" i="95"/>
  <c r="L71" i="95"/>
  <c r="M72" i="95"/>
  <c r="M71" i="95" s="1"/>
  <c r="H73" i="95"/>
  <c r="I73" i="95"/>
  <c r="J73" i="95"/>
  <c r="K73" i="95"/>
  <c r="L73" i="95"/>
  <c r="M74" i="95"/>
  <c r="M73" i="95" s="1"/>
  <c r="H75" i="95"/>
  <c r="I75" i="95"/>
  <c r="J75" i="95"/>
  <c r="K75" i="95"/>
  <c r="L75" i="95"/>
  <c r="M76" i="95"/>
  <c r="M75" i="95" s="1"/>
  <c r="H77" i="95"/>
  <c r="I77" i="95"/>
  <c r="J77" i="95"/>
  <c r="K77" i="95"/>
  <c r="L77" i="95"/>
  <c r="M78" i="95"/>
  <c r="M77" i="95" s="1"/>
  <c r="H79" i="95"/>
  <c r="I79" i="95"/>
  <c r="J79" i="95"/>
  <c r="K79" i="95"/>
  <c r="L79" i="95"/>
  <c r="M80" i="95"/>
  <c r="M79" i="95" s="1"/>
  <c r="H81" i="95"/>
  <c r="I81" i="95"/>
  <c r="J81" i="95"/>
  <c r="K81" i="95"/>
  <c r="L81" i="95"/>
  <c r="M82" i="95"/>
  <c r="M81" i="95" s="1"/>
  <c r="E44" i="45" l="1"/>
  <c r="E49" i="45"/>
  <c r="E7" i="45"/>
  <c r="E22" i="45"/>
  <c r="H10" i="95"/>
  <c r="M45" i="95"/>
  <c r="M5" i="95"/>
  <c r="M11" i="95"/>
  <c r="H50" i="95"/>
  <c r="H83" i="95" s="1"/>
  <c r="L50" i="95"/>
  <c r="L83" i="95" s="1"/>
  <c r="K10" i="95"/>
  <c r="K43" i="95" s="1"/>
  <c r="J10" i="95"/>
  <c r="J43" i="95" s="1"/>
  <c r="J50" i="95"/>
  <c r="J83" i="95" s="1"/>
  <c r="I50" i="95"/>
  <c r="I83" i="95" s="1"/>
  <c r="M17" i="95"/>
  <c r="K50" i="95"/>
  <c r="K83" i="95" s="1"/>
  <c r="I10" i="95"/>
  <c r="I43" i="95" s="1"/>
  <c r="M57" i="95"/>
  <c r="L10" i="95"/>
  <c r="L43" i="95" s="1"/>
  <c r="M51" i="95"/>
  <c r="H43" i="95"/>
  <c r="M50" i="95" l="1"/>
  <c r="M83" i="95" s="1"/>
  <c r="M10" i="95"/>
  <c r="M43" i="95" s="1"/>
  <c r="D9" i="3" l="1"/>
  <c r="D11" i="3" l="1"/>
  <c r="D5" i="2"/>
  <c r="D6" i="3"/>
  <c r="D18" i="2"/>
  <c r="H5" i="2" l="1"/>
  <c r="H18" i="2" l="1"/>
  <c r="H7" i="2"/>
  <c r="H14" i="2" s="1"/>
  <c r="H17" i="2" s="1"/>
  <c r="H22" i="2" s="1"/>
  <c r="H24" i="2" s="1"/>
  <c r="H26" i="2" l="1"/>
  <c r="F9" i="3" l="1"/>
  <c r="F5" i="2" l="1"/>
  <c r="F7" i="2"/>
  <c r="F18" i="2"/>
  <c r="F6" i="3"/>
  <c r="F14" i="2" l="1"/>
  <c r="F17" i="2" l="1"/>
  <c r="G6" i="45" s="1"/>
  <c r="F22" i="2" l="1"/>
  <c r="F24" i="2" s="1"/>
  <c r="F5" i="3"/>
  <c r="F26" i="2" l="1"/>
  <c r="H9" i="3" l="1"/>
  <c r="J9" i="3"/>
  <c r="K5" i="2" l="1"/>
  <c r="I5" i="2"/>
  <c r="J6" i="3"/>
  <c r="H6" i="3"/>
  <c r="K7" i="2"/>
  <c r="K18" i="2"/>
  <c r="I18" i="2"/>
  <c r="I7" i="2"/>
  <c r="K14" i="2" l="1"/>
  <c r="K17" i="2" s="1"/>
  <c r="I14" i="2"/>
  <c r="I17" i="2" s="1"/>
  <c r="K22" i="2" l="1"/>
  <c r="K24" i="2" s="1"/>
  <c r="I6" i="45"/>
  <c r="I22" i="2"/>
  <c r="I24" i="2" s="1"/>
  <c r="H5" i="3" l="1"/>
  <c r="K26" i="2"/>
  <c r="I26" i="2"/>
  <c r="D8" i="39" l="1"/>
  <c r="N9" i="3" l="1"/>
  <c r="Y18" i="63"/>
  <c r="N6" i="3" l="1"/>
  <c r="L9" i="3" l="1"/>
  <c r="L6" i="3" l="1"/>
  <c r="J6" i="39" l="1"/>
  <c r="I6" i="39"/>
  <c r="I5" i="39"/>
  <c r="J5" i="39"/>
  <c r="J8" i="39" l="1"/>
  <c r="E9" i="3" l="1"/>
  <c r="E6" i="3" l="1"/>
  <c r="O5" i="39" l="1"/>
  <c r="O6" i="39" l="1"/>
  <c r="S5" i="39"/>
  <c r="S6" i="39"/>
  <c r="AH6" i="39" l="1"/>
  <c r="AH5" i="39"/>
  <c r="AI7" i="39"/>
  <c r="T8" i="39" l="1"/>
  <c r="S8" i="39" l="1"/>
  <c r="AM6" i="39" l="1"/>
  <c r="AM5" i="39"/>
  <c r="AR6" i="39"/>
  <c r="AR5" i="39"/>
  <c r="AW6" i="39"/>
  <c r="AW5" i="39"/>
  <c r="X6" i="39"/>
  <c r="X5" i="39"/>
  <c r="AN8" i="39"/>
  <c r="AC6" i="39"/>
  <c r="AC5" i="39"/>
  <c r="AD8" i="39"/>
  <c r="X8" i="39" l="1"/>
  <c r="AR8" i="39"/>
  <c r="AW8" i="39"/>
  <c r="AM8" i="39"/>
  <c r="AC8" i="39"/>
  <c r="AS8" i="39"/>
  <c r="AX8" i="39"/>
  <c r="Y8" i="39" l="1"/>
  <c r="BC8" i="39" l="1"/>
  <c r="BA7" i="39"/>
  <c r="BD7" i="39" s="1"/>
  <c r="AG7" i="39" s="1"/>
  <c r="AJ7" i="39" s="1"/>
  <c r="C7" i="39" s="1"/>
  <c r="BD5" i="39"/>
  <c r="AG5" i="39" s="1"/>
  <c r="AH8" i="39"/>
  <c r="BB6" i="39"/>
  <c r="BD6" i="39" s="1"/>
  <c r="AG6" i="39" s="1"/>
  <c r="E7" i="39" l="1"/>
  <c r="F7" i="39"/>
  <c r="M7" i="39"/>
  <c r="H7" i="39"/>
  <c r="AI5" i="39"/>
  <c r="BO5" i="39" s="1"/>
  <c r="AI6" i="39"/>
  <c r="BO6" i="39" s="1"/>
  <c r="AQ7" i="39"/>
  <c r="AT7" i="39" s="1"/>
  <c r="AV7" i="39"/>
  <c r="AY7" i="39" s="1"/>
  <c r="AL7" i="39"/>
  <c r="AV6" i="39"/>
  <c r="AY6" i="39" s="1"/>
  <c r="AQ6" i="39"/>
  <c r="AT6" i="39" s="1"/>
  <c r="AL6" i="39"/>
  <c r="AV5" i="39"/>
  <c r="AQ5" i="39"/>
  <c r="AL5" i="39"/>
  <c r="I7" i="39" l="1"/>
  <c r="I8" i="39" s="1"/>
  <c r="AJ6" i="39"/>
  <c r="M6" i="39" s="1"/>
  <c r="AJ5" i="39"/>
  <c r="M5" i="39" s="1"/>
  <c r="R7" i="39"/>
  <c r="U7" i="39" s="1"/>
  <c r="AO6" i="39"/>
  <c r="W7" i="39"/>
  <c r="AB7" i="39"/>
  <c r="AE7" i="39" s="1"/>
  <c r="AV8" i="39"/>
  <c r="AY5" i="39"/>
  <c r="AY8" i="39" s="1"/>
  <c r="AO7" i="39"/>
  <c r="AT5" i="39"/>
  <c r="AT8" i="39" s="1"/>
  <c r="AQ8" i="39"/>
  <c r="AL8" i="39"/>
  <c r="AO5" i="39"/>
  <c r="AO8" i="39" s="1"/>
  <c r="N5" i="39" l="1"/>
  <c r="P5" i="39" s="1"/>
  <c r="C5" i="39" s="1"/>
  <c r="N6" i="39"/>
  <c r="P6" i="39" s="1"/>
  <c r="K7" i="39"/>
  <c r="AJ8" i="39"/>
  <c r="O7" i="39"/>
  <c r="P7" i="39" s="1"/>
  <c r="Z7" i="39"/>
  <c r="H6" i="39" l="1"/>
  <c r="K6" i="39" s="1"/>
  <c r="C6" i="39"/>
  <c r="N8" i="39"/>
  <c r="P8" i="39"/>
  <c r="C8" i="39" l="1"/>
  <c r="BA8" i="39"/>
  <c r="BB8" i="39"/>
  <c r="D5" i="39" l="1"/>
  <c r="E5" i="39"/>
  <c r="F5" i="39" s="1"/>
  <c r="D6" i="39"/>
  <c r="E6" i="39"/>
  <c r="F6" i="39" s="1"/>
  <c r="BD8" i="39"/>
  <c r="AG8" i="39"/>
  <c r="R6" i="39" l="1"/>
  <c r="U6" i="39" s="1"/>
  <c r="R5" i="39"/>
  <c r="U5" i="39" s="1"/>
  <c r="AB6" i="39"/>
  <c r="W6" i="39"/>
  <c r="W5" i="39"/>
  <c r="AB5" i="39"/>
  <c r="AE5" i="39" s="1"/>
  <c r="AE6" i="39"/>
  <c r="AI8" i="39"/>
  <c r="U8" i="39" l="1"/>
  <c r="R8" i="39"/>
  <c r="H5" i="39"/>
  <c r="K5" i="39" s="1"/>
  <c r="K8" i="39" s="1"/>
  <c r="M8" i="39"/>
  <c r="Z6" i="39"/>
  <c r="AB8" i="39"/>
  <c r="AE8" i="39"/>
  <c r="H8" i="39" l="1"/>
  <c r="O8" i="39"/>
  <c r="Z5" i="39"/>
  <c r="Z8" i="39" s="1"/>
  <c r="W8" i="39"/>
  <c r="D6" i="51"/>
  <c r="D3" i="51"/>
  <c r="D11" i="51" l="1"/>
  <c r="D20" i="24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H273" i="46"/>
  <c r="I273" i="46" s="1"/>
  <c r="H272" i="46"/>
  <c r="I272" i="46" s="1"/>
  <c r="H271" i="46"/>
  <c r="I271" i="46" s="1"/>
  <c r="G290" i="49"/>
  <c r="L273" i="49" l="1"/>
  <c r="L272" i="49"/>
  <c r="G301" i="49"/>
  <c r="G291" i="49"/>
  <c r="G293" i="49" s="1"/>
  <c r="G297" i="49"/>
  <c r="G298" i="49" s="1"/>
  <c r="O290" i="49" l="1"/>
  <c r="F291" i="46"/>
  <c r="H299" i="46" s="1"/>
  <c r="F287" i="49"/>
  <c r="G291" i="46" l="1"/>
  <c r="F9" i="50"/>
  <c r="E8" i="24"/>
  <c r="K9" i="15" l="1"/>
  <c r="D254" i="15" l="1"/>
  <c r="D253" i="15"/>
  <c r="D252" i="15"/>
  <c r="BG6" i="39" l="1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E10" i="49"/>
  <c r="L9" i="49"/>
  <c r="E9" i="49"/>
  <c r="E8" i="49"/>
  <c r="E7" i="49"/>
  <c r="L11" i="49" l="1"/>
  <c r="J238" i="49"/>
  <c r="M11" i="49"/>
  <c r="M221" i="49"/>
  <c r="K248" i="49"/>
  <c r="J202" i="49"/>
  <c r="J250" i="49"/>
  <c r="J251" i="49"/>
  <c r="J252" i="49"/>
  <c r="K39" i="49"/>
  <c r="L39" i="49" s="1"/>
  <c r="L253" i="49"/>
  <c r="L254" i="49" s="1"/>
  <c r="J249" i="49"/>
  <c r="J253" i="49"/>
  <c r="L12" i="49"/>
  <c r="L13" i="49"/>
  <c r="J33" i="49"/>
  <c r="J248" i="49"/>
  <c r="D247" i="49"/>
  <c r="J247" i="49" s="1"/>
  <c r="L14" i="49" l="1"/>
  <c r="L15" i="49" s="1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2" i="40"/>
  <c r="G211" i="40"/>
  <c r="G214" i="40" l="1"/>
  <c r="D48" i="35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BL5" i="39" l="1"/>
  <c r="BF5" i="39" s="1"/>
  <c r="D81" i="35" l="1"/>
  <c r="D80" i="35"/>
  <c r="D79" i="35"/>
  <c r="BL7" i="39" l="1"/>
  <c r="BL6" i="39"/>
  <c r="BK8" i="39"/>
  <c r="BJ8" i="39"/>
  <c r="BG8" i="39"/>
  <c r="D3" i="35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L8" i="39" l="1"/>
  <c r="BF6" i="39"/>
  <c r="BF7" i="39"/>
  <c r="BH7" i="39" s="1"/>
  <c r="BH6" i="39"/>
  <c r="B13" i="27"/>
  <c r="BH5" i="39"/>
  <c r="BF8" i="39" l="1"/>
  <c r="E20" i="51"/>
  <c r="BH8" i="39"/>
  <c r="M9" i="3" l="1"/>
  <c r="I9" i="3"/>
  <c r="I6" i="3" l="1"/>
  <c r="M6" i="3"/>
  <c r="O9" i="3" l="1"/>
  <c r="T9" i="3"/>
  <c r="O6" i="3" l="1"/>
  <c r="T6" i="3"/>
  <c r="K9" i="3"/>
  <c r="G6" i="3" l="1"/>
  <c r="K6" i="3"/>
  <c r="G9" i="3"/>
  <c r="P9" i="3" l="1"/>
  <c r="R9" i="3"/>
  <c r="U9" i="3"/>
  <c r="U6" i="3" l="1"/>
  <c r="R6" i="3"/>
  <c r="P6" i="3"/>
  <c r="Q9" i="3" l="1"/>
  <c r="S9" i="3"/>
  <c r="V9" i="3" l="1"/>
  <c r="V6" i="3"/>
  <c r="S6" i="3"/>
  <c r="Q6" i="3"/>
  <c r="W6" i="3" l="1"/>
  <c r="W9" i="3"/>
  <c r="E8" i="39" l="1"/>
  <c r="F8" i="39"/>
  <c r="M18" i="2" l="1"/>
  <c r="E5" i="2"/>
  <c r="E18" i="2"/>
  <c r="O18" i="2" l="1"/>
  <c r="M5" i="2"/>
  <c r="O5" i="2" l="1"/>
  <c r="M7" i="2" l="1"/>
  <c r="E7" i="2"/>
  <c r="E14" i="2" l="1"/>
  <c r="E17" i="2" s="1"/>
  <c r="O7" i="2"/>
  <c r="M14" i="2"/>
  <c r="M17" i="2" s="1"/>
  <c r="M22" i="2" l="1"/>
  <c r="M24" i="2" s="1"/>
  <c r="M6" i="45"/>
  <c r="E22" i="2"/>
  <c r="E24" i="2" s="1"/>
  <c r="F6" i="45"/>
  <c r="O14" i="2"/>
  <c r="O17" i="2" s="1"/>
  <c r="M26" i="2" l="1"/>
  <c r="L5" i="3"/>
  <c r="K6" i="45"/>
  <c r="O22" i="2"/>
  <c r="O24" i="2" s="1"/>
  <c r="E26" i="2"/>
  <c r="O26" i="2" l="1"/>
  <c r="N5" i="3"/>
  <c r="Q5" i="2" l="1"/>
  <c r="Q18" i="2" l="1"/>
  <c r="N18" i="2"/>
  <c r="N5" i="2"/>
  <c r="J5" i="2"/>
  <c r="J18" i="2"/>
  <c r="Q7" i="2" l="1"/>
  <c r="Q14" i="2" s="1"/>
  <c r="Q17" i="2" s="1"/>
  <c r="Q22" i="2" s="1"/>
  <c r="Q24" i="2" s="1"/>
  <c r="Q26" i="2" s="1"/>
  <c r="J7" i="2" l="1"/>
  <c r="N7" i="2"/>
  <c r="V18" i="2"/>
  <c r="N14" i="2" l="1"/>
  <c r="N17" i="2" s="1"/>
  <c r="V5" i="2"/>
  <c r="J14" i="2"/>
  <c r="J17" i="2" s="1"/>
  <c r="L5" i="2" l="1"/>
  <c r="P18" i="2"/>
  <c r="J22" i="2"/>
  <c r="J24" i="2" s="1"/>
  <c r="O6" i="45"/>
  <c r="N6" i="45"/>
  <c r="N22" i="2"/>
  <c r="N24" i="2" s="1"/>
  <c r="L18" i="2"/>
  <c r="P5" i="2"/>
  <c r="G5" i="2"/>
  <c r="G18" i="2" l="1"/>
  <c r="J26" i="2"/>
  <c r="V7" i="2"/>
  <c r="N26" i="2"/>
  <c r="V14" i="2" l="1"/>
  <c r="V17" i="2" s="1"/>
  <c r="I5" i="3" l="1"/>
  <c r="G7" i="2"/>
  <c r="T6" i="45"/>
  <c r="V22" i="2"/>
  <c r="V24" i="2" s="1"/>
  <c r="L7" i="2"/>
  <c r="P7" i="2"/>
  <c r="M5" i="3" l="1"/>
  <c r="P14" i="2"/>
  <c r="P17" i="2" s="1"/>
  <c r="L14" i="2"/>
  <c r="L17" i="2" s="1"/>
  <c r="V26" i="2"/>
  <c r="G14" i="2"/>
  <c r="G17" i="2" s="1"/>
  <c r="G22" i="2" l="1"/>
  <c r="G24" i="2" s="1"/>
  <c r="H6" i="45"/>
  <c r="L22" i="2"/>
  <c r="L24" i="2" s="1"/>
  <c r="J6" i="45"/>
  <c r="L6" i="45"/>
  <c r="P22" i="2"/>
  <c r="P24" i="2" s="1"/>
  <c r="G26" i="2" l="1"/>
  <c r="P26" i="2"/>
  <c r="L26" i="2"/>
  <c r="T5" i="3" l="1"/>
  <c r="G5" i="3"/>
  <c r="O5" i="3" l="1"/>
  <c r="J5" i="3" l="1"/>
  <c r="K5" i="3"/>
  <c r="X5" i="2" l="1"/>
  <c r="X18" i="2" l="1"/>
  <c r="T5" i="2"/>
  <c r="R18" i="2"/>
  <c r="W5" i="2"/>
  <c r="R5" i="2"/>
  <c r="T18" i="2"/>
  <c r="W18" i="2"/>
  <c r="U5" i="2"/>
  <c r="X7" i="2" l="1"/>
  <c r="X14" i="2" s="1"/>
  <c r="X17" i="2" s="1"/>
  <c r="X22" i="2" s="1"/>
  <c r="X24" i="2" s="1"/>
  <c r="X26" i="2" s="1"/>
  <c r="U18" i="2"/>
  <c r="S5" i="2"/>
  <c r="Y18" i="2" l="1"/>
  <c r="S18" i="2"/>
  <c r="Y5" i="2"/>
  <c r="T7" i="2" l="1"/>
  <c r="W7" i="2"/>
  <c r="R7" i="2"/>
  <c r="S7" i="2" l="1"/>
  <c r="W14" i="2"/>
  <c r="W17" i="2" s="1"/>
  <c r="U7" i="2"/>
  <c r="T14" i="2"/>
  <c r="T17" i="2" s="1"/>
  <c r="R14" i="2"/>
  <c r="R17" i="2" s="1"/>
  <c r="T22" i="2" l="1"/>
  <c r="T24" i="2" s="1"/>
  <c r="R6" i="45"/>
  <c r="U14" i="2"/>
  <c r="U17" i="2" s="1"/>
  <c r="S14" i="2"/>
  <c r="S17" i="2" s="1"/>
  <c r="P6" i="45"/>
  <c r="R22" i="2"/>
  <c r="R24" i="2" s="1"/>
  <c r="Y7" i="2"/>
  <c r="W22" i="2"/>
  <c r="W24" i="2" s="1"/>
  <c r="U6" i="45"/>
  <c r="W26" i="2" l="1"/>
  <c r="R26" i="2"/>
  <c r="S6" i="45"/>
  <c r="U22" i="2"/>
  <c r="U24" i="2" s="1"/>
  <c r="S22" i="2"/>
  <c r="S24" i="2" s="1"/>
  <c r="Q6" i="45"/>
  <c r="Y14" i="2"/>
  <c r="Y17" i="2" s="1"/>
  <c r="T26" i="2"/>
  <c r="V6" i="45" l="1"/>
  <c r="Y22" i="2"/>
  <c r="Y24" i="2" s="1"/>
  <c r="S26" i="2"/>
  <c r="U26" i="2"/>
  <c r="R5" i="3" l="1"/>
  <c r="P5" i="3"/>
  <c r="Y26" i="2"/>
  <c r="U5" i="3" l="1"/>
  <c r="S5" i="3"/>
  <c r="V5" i="3"/>
  <c r="Q5" i="3" l="1"/>
  <c r="Z5" i="2" l="1"/>
  <c r="Z18" i="2" l="1"/>
  <c r="Z7" i="2" l="1"/>
  <c r="Z14" i="2" l="1"/>
  <c r="Z17" i="2" s="1"/>
  <c r="Z22" i="2" l="1"/>
  <c r="Z24" i="2" s="1"/>
  <c r="W6" i="45"/>
  <c r="Z26" i="2" l="1"/>
  <c r="W5" i="3"/>
  <c r="M44" i="45" l="1"/>
  <c r="M49" i="45"/>
  <c r="M22" i="45" l="1"/>
  <c r="F44" i="45" l="1"/>
  <c r="F49" i="45"/>
  <c r="M7" i="45"/>
  <c r="M21" i="45" s="1"/>
  <c r="M39" i="45" s="1"/>
  <c r="M51" i="45" s="1"/>
  <c r="K44" i="45" l="1"/>
  <c r="K49" i="45"/>
  <c r="F22" i="45"/>
  <c r="I44" i="45"/>
  <c r="I49" i="45"/>
  <c r="F7" i="45"/>
  <c r="F21" i="45" s="1"/>
  <c r="F39" i="45" l="1"/>
  <c r="F51" i="45" s="1"/>
  <c r="I22" i="45"/>
  <c r="K22" i="45"/>
  <c r="K7" i="45" l="1"/>
  <c r="K21" i="45" s="1"/>
  <c r="K39" i="45" s="1"/>
  <c r="K51" i="45" s="1"/>
  <c r="I7" i="45"/>
  <c r="I21" i="45" s="1"/>
  <c r="I39" i="45" s="1"/>
  <c r="I51" i="45" s="1"/>
  <c r="G44" i="45" l="1"/>
  <c r="G49" i="45"/>
  <c r="G22" i="45" l="1"/>
  <c r="G7" i="45" l="1"/>
  <c r="G21" i="45" s="1"/>
  <c r="G39" i="45" s="1"/>
  <c r="G51" i="45" s="1"/>
  <c r="N49" i="45" l="1"/>
  <c r="O49" i="45"/>
  <c r="O44" i="45" l="1"/>
  <c r="N44" i="45"/>
  <c r="N22" i="45"/>
  <c r="O22" i="45"/>
  <c r="N7" i="45" l="1"/>
  <c r="N21" i="45" s="1"/>
  <c r="N39" i="45" s="1"/>
  <c r="N51" i="45" s="1"/>
  <c r="O7" i="45"/>
  <c r="O21" i="45" s="1"/>
  <c r="O39" i="45" s="1"/>
  <c r="O51" i="45" s="1"/>
  <c r="T49" i="45" l="1"/>
  <c r="T44" i="45"/>
  <c r="T22" i="45"/>
  <c r="H44" i="45" l="1"/>
  <c r="L22" i="45"/>
  <c r="T7" i="45"/>
  <c r="T21" i="45" s="1"/>
  <c r="T39" i="45" s="1"/>
  <c r="T51" i="45" s="1"/>
  <c r="L44" i="45"/>
  <c r="J44" i="45"/>
  <c r="H49" i="45"/>
  <c r="H22" i="45"/>
  <c r="J22" i="45"/>
  <c r="L49" i="45"/>
  <c r="J49" i="45"/>
  <c r="H7" i="45" l="1"/>
  <c r="H21" i="45" s="1"/>
  <c r="H39" i="45" s="1"/>
  <c r="H51" i="45" s="1"/>
  <c r="L7" i="45"/>
  <c r="L21" i="45" s="1"/>
  <c r="L39" i="45" s="1"/>
  <c r="L51" i="45" s="1"/>
  <c r="J7" i="45"/>
  <c r="J21" i="45" s="1"/>
  <c r="J39" i="45" s="1"/>
  <c r="J51" i="45" s="1"/>
  <c r="R49" i="45" l="1"/>
  <c r="P49" i="45"/>
  <c r="P44" i="45"/>
  <c r="R44" i="45"/>
  <c r="P22" i="45" l="1"/>
  <c r="R22" i="45"/>
  <c r="U44" i="45"/>
  <c r="U49" i="45" l="1"/>
  <c r="U22" i="45"/>
  <c r="S44" i="45"/>
  <c r="P7" i="45"/>
  <c r="P21" i="45" s="1"/>
  <c r="P39" i="45" s="1"/>
  <c r="P51" i="45" s="1"/>
  <c r="R7" i="45"/>
  <c r="R21" i="45" s="1"/>
  <c r="R39" i="45" s="1"/>
  <c r="R51" i="45" s="1"/>
  <c r="V44" i="45" l="1"/>
  <c r="Q49" i="45"/>
  <c r="Q44" i="45"/>
  <c r="V49" i="45"/>
  <c r="S49" i="45"/>
  <c r="S22" i="45"/>
  <c r="Q22" i="45"/>
  <c r="V22" i="45"/>
  <c r="U7" i="45" l="1"/>
  <c r="U21" i="45" s="1"/>
  <c r="U39" i="45" s="1"/>
  <c r="U51" i="45" s="1"/>
  <c r="S7" i="45"/>
  <c r="S21" i="45" s="1"/>
  <c r="S39" i="45" s="1"/>
  <c r="S51" i="45" s="1"/>
  <c r="Q7" i="45" l="1"/>
  <c r="Q21" i="45" s="1"/>
  <c r="Q39" i="45" s="1"/>
  <c r="Q51" i="45" s="1"/>
  <c r="V7" i="45"/>
  <c r="V21" i="45" s="1"/>
  <c r="V39" i="45" s="1"/>
  <c r="V51" i="45" s="1"/>
  <c r="W44" i="45" l="1"/>
  <c r="W22" i="45"/>
  <c r="W49" i="45"/>
  <c r="W7" i="45" l="1"/>
  <c r="W21" i="45" s="1"/>
  <c r="W39" i="45" s="1"/>
  <c r="W51" i="45" s="1"/>
  <c r="W11" i="3" l="1"/>
  <c r="W14" i="3" s="1"/>
  <c r="V11" i="3"/>
  <c r="V14" i="3" s="1"/>
  <c r="Q11" i="3"/>
  <c r="Q14" i="3" s="1"/>
  <c r="S11" i="3"/>
  <c r="S14" i="3" s="1"/>
  <c r="U11" i="3"/>
  <c r="U14" i="3" s="1"/>
  <c r="R11" i="3"/>
  <c r="R14" i="3" s="1"/>
  <c r="P11" i="3"/>
  <c r="P14" i="3" s="1"/>
  <c r="J11" i="3"/>
  <c r="J14" i="3" s="1"/>
  <c r="O11" i="3"/>
  <c r="O14" i="3" s="1"/>
  <c r="G11" i="3"/>
  <c r="G14" i="3" s="1"/>
  <c r="K11" i="3"/>
  <c r="K14" i="3" s="1"/>
  <c r="T11" i="3"/>
  <c r="T14" i="3" s="1"/>
  <c r="I11" i="3"/>
  <c r="I14" i="3" s="1"/>
  <c r="M11" i="3"/>
  <c r="M14" i="3" s="1"/>
  <c r="N11" i="3"/>
  <c r="N14" i="3" s="1"/>
  <c r="L11" i="3"/>
  <c r="L14" i="3" s="1"/>
  <c r="E11" i="3"/>
  <c r="H11" i="3"/>
  <c r="H14" i="3" s="1"/>
  <c r="F11" i="3"/>
  <c r="F14" i="3" s="1"/>
  <c r="D7" i="2" l="1"/>
  <c r="D14" i="2" l="1"/>
  <c r="D17" i="2" s="1"/>
  <c r="E6" i="45" s="1"/>
  <c r="E21" i="45" s="1"/>
  <c r="E39" i="45" s="1"/>
  <c r="E51" i="45" s="1"/>
  <c r="D22" i="2" l="1"/>
  <c r="D24" i="2" s="1"/>
  <c r="D26" i="2" l="1"/>
  <c r="D10" i="1" l="1"/>
  <c r="D23" i="1" l="1"/>
  <c r="D16" i="1" l="1"/>
  <c r="D9" i="1"/>
  <c r="D25" i="1"/>
  <c r="D4" i="1"/>
  <c r="D3" i="1" l="1"/>
  <c r="D15" i="1"/>
  <c r="E8" i="63" l="1"/>
  <c r="E34" i="63"/>
  <c r="E5" i="63"/>
  <c r="E16" i="63" l="1"/>
  <c r="E18" i="63" s="1"/>
  <c r="E19" i="63"/>
  <c r="E30" i="63"/>
  <c r="E25" i="63"/>
  <c r="E23" i="63" l="1"/>
  <c r="E36" i="63"/>
  <c r="E24" i="63" l="1"/>
  <c r="F12" i="76" l="1"/>
  <c r="D12" i="76"/>
  <c r="H23" i="1"/>
  <c r="I23" i="1"/>
  <c r="H10" i="1"/>
  <c r="M34" i="63" l="1"/>
  <c r="E23" i="1"/>
  <c r="E10" i="1"/>
  <c r="I10" i="1"/>
  <c r="F17" i="39"/>
  <c r="F18" i="39" s="1"/>
  <c r="F6" i="76" l="1"/>
  <c r="F13" i="76" s="1"/>
  <c r="I34" i="63"/>
  <c r="M5" i="63"/>
  <c r="F5" i="63"/>
  <c r="I5" i="63"/>
  <c r="K17" i="39"/>
  <c r="K18" i="39" s="1"/>
  <c r="G16" i="1"/>
  <c r="E4" i="1"/>
  <c r="G10" i="1"/>
  <c r="G25" i="1"/>
  <c r="E25" i="1"/>
  <c r="D6" i="76"/>
  <c r="D13" i="76" s="1"/>
  <c r="H25" i="1"/>
  <c r="H4" i="1"/>
  <c r="E16" i="1"/>
  <c r="G23" i="1"/>
  <c r="G4" i="1"/>
  <c r="H16" i="1"/>
  <c r="F19" i="63"/>
  <c r="H15" i="1" l="1"/>
  <c r="I30" i="63"/>
  <c r="M8" i="63"/>
  <c r="M16" i="63" s="1"/>
  <c r="M18" i="63" s="1"/>
  <c r="I25" i="63"/>
  <c r="F34" i="63"/>
  <c r="I19" i="63"/>
  <c r="I8" i="63"/>
  <c r="I16" i="63" s="1"/>
  <c r="I18" i="63" s="1"/>
  <c r="M30" i="63"/>
  <c r="M19" i="63"/>
  <c r="O5" i="63"/>
  <c r="F8" i="63"/>
  <c r="F16" i="63" s="1"/>
  <c r="F18" i="63" s="1"/>
  <c r="F23" i="63" s="1"/>
  <c r="M25" i="63"/>
  <c r="F30" i="63"/>
  <c r="F25" i="63"/>
  <c r="I16" i="1"/>
  <c r="E15" i="1"/>
  <c r="I25" i="1"/>
  <c r="G15" i="1"/>
  <c r="E9" i="1"/>
  <c r="E3" i="1" s="1"/>
  <c r="G9" i="1"/>
  <c r="G3" i="1" s="1"/>
  <c r="H9" i="1"/>
  <c r="H3" i="1" s="1"/>
  <c r="I23" i="63" l="1"/>
  <c r="I15" i="1"/>
  <c r="O25" i="63"/>
  <c r="K8" i="63"/>
  <c r="K5" i="63"/>
  <c r="K34" i="63"/>
  <c r="K30" i="63"/>
  <c r="M23" i="63"/>
  <c r="O19" i="63"/>
  <c r="K19" i="63"/>
  <c r="O30" i="63"/>
  <c r="K25" i="63"/>
  <c r="G5" i="63"/>
  <c r="O8" i="63"/>
  <c r="O16" i="63" s="1"/>
  <c r="O18" i="63" s="1"/>
  <c r="G34" i="63"/>
  <c r="O34" i="63"/>
  <c r="I9" i="1"/>
  <c r="K16" i="63" l="1"/>
  <c r="K18" i="63" s="1"/>
  <c r="K23" i="63" s="1"/>
  <c r="G19" i="63"/>
  <c r="G30" i="63"/>
  <c r="O23" i="63"/>
  <c r="G25" i="63"/>
  <c r="G8" i="63"/>
  <c r="G16" i="63" s="1"/>
  <c r="G18" i="63" s="1"/>
  <c r="G23" i="63" s="1"/>
  <c r="I36" i="63" l="1"/>
  <c r="I24" i="63" l="1"/>
  <c r="M36" i="63" l="1"/>
  <c r="M24" i="63" s="1"/>
  <c r="K36" i="63"/>
  <c r="F36" i="63"/>
  <c r="O36" i="63"/>
  <c r="O24" i="63" s="1"/>
  <c r="K24" i="63" l="1"/>
  <c r="F24" i="63"/>
  <c r="J10" i="1"/>
  <c r="L10" i="1"/>
  <c r="K10" i="1"/>
  <c r="M10" i="1"/>
  <c r="N10" i="1"/>
  <c r="F10" i="1" l="1"/>
  <c r="G36" i="63"/>
  <c r="G24" i="63" l="1"/>
  <c r="E12" i="76" l="1"/>
  <c r="G12" i="76"/>
  <c r="H12" i="76"/>
  <c r="I12" i="76"/>
  <c r="L23" i="1" l="1"/>
  <c r="J23" i="1"/>
  <c r="K23" i="1"/>
  <c r="J34" i="63" l="1"/>
  <c r="F23" i="1"/>
  <c r="G6" i="76"/>
  <c r="G13" i="76" s="1"/>
  <c r="J5" i="63" l="1"/>
  <c r="U17" i="39"/>
  <c r="U18" i="39" s="1"/>
  <c r="J19" i="63"/>
  <c r="N8" i="63"/>
  <c r="N5" i="63"/>
  <c r="Z17" i="39"/>
  <c r="Z18" i="39" s="1"/>
  <c r="J8" i="63"/>
  <c r="N34" i="63"/>
  <c r="P17" i="39"/>
  <c r="P18" i="39" s="1"/>
  <c r="J25" i="1"/>
  <c r="E6" i="76"/>
  <c r="E13" i="76" s="1"/>
  <c r="AE17" i="39"/>
  <c r="AE18" i="39" s="1"/>
  <c r="I6" i="76"/>
  <c r="I13" i="76" s="1"/>
  <c r="J16" i="1"/>
  <c r="J15" i="1" s="1"/>
  <c r="K25" i="1"/>
  <c r="L25" i="1"/>
  <c r="H6" i="76"/>
  <c r="H13" i="76" s="1"/>
  <c r="N16" i="63" l="1"/>
  <c r="N18" i="63" s="1"/>
  <c r="J16" i="63"/>
  <c r="J18" i="63" s="1"/>
  <c r="J23" i="63" s="1"/>
  <c r="N25" i="63"/>
  <c r="N30" i="63"/>
  <c r="J25" i="63"/>
  <c r="J30" i="63"/>
  <c r="N19" i="63"/>
  <c r="F25" i="1"/>
  <c r="F16" i="1"/>
  <c r="F4" i="1"/>
  <c r="L4" i="1"/>
  <c r="L9" i="1"/>
  <c r="J9" i="1"/>
  <c r="L16" i="1"/>
  <c r="L15" i="1" s="1"/>
  <c r="J4" i="1"/>
  <c r="K16" i="1"/>
  <c r="K15" i="1" s="1"/>
  <c r="K9" i="1"/>
  <c r="K4" i="1"/>
  <c r="N23" i="63" l="1"/>
  <c r="F15" i="1"/>
  <c r="F9" i="1"/>
  <c r="F3" i="1" s="1"/>
  <c r="K3" i="1"/>
  <c r="J3" i="1"/>
  <c r="L3" i="1"/>
  <c r="U8" i="63" l="1"/>
  <c r="U30" i="63" l="1"/>
  <c r="U25" i="63"/>
  <c r="U5" i="63"/>
  <c r="U16" i="63" s="1"/>
  <c r="U18" i="63" s="1"/>
  <c r="U34" i="63"/>
  <c r="P5" i="63"/>
  <c r="L5" i="63" l="1"/>
  <c r="P30" i="63"/>
  <c r="H5" i="63"/>
  <c r="L34" i="63"/>
  <c r="H34" i="63"/>
  <c r="P8" i="63"/>
  <c r="P16" i="63" s="1"/>
  <c r="P18" i="63" s="1"/>
  <c r="U19" i="63"/>
  <c r="U23" i="63" s="1"/>
  <c r="P34" i="63"/>
  <c r="H25" i="63" l="1"/>
  <c r="H30" i="63"/>
  <c r="P25" i="63"/>
  <c r="L19" i="63"/>
  <c r="L8" i="63"/>
  <c r="L16" i="63" s="1"/>
  <c r="L18" i="63" s="1"/>
  <c r="H8" i="63"/>
  <c r="H16" i="63" s="1"/>
  <c r="H18" i="63" s="1"/>
  <c r="P19" i="63"/>
  <c r="P23" i="63" s="1"/>
  <c r="L30" i="63"/>
  <c r="L23" i="63" l="1"/>
  <c r="L25" i="63"/>
  <c r="H19" i="63"/>
  <c r="H23" i="63" s="1"/>
  <c r="J36" i="63" l="1"/>
  <c r="N36" i="63" l="1"/>
  <c r="N24" i="63" s="1"/>
  <c r="J24" i="63"/>
  <c r="U36" i="63" l="1"/>
  <c r="U24" i="63" s="1"/>
  <c r="P36" i="63" l="1"/>
  <c r="P24" i="63" s="1"/>
  <c r="L36" i="63" l="1"/>
  <c r="H36" i="63"/>
  <c r="H24" i="63" s="1"/>
  <c r="L24" i="63" l="1"/>
  <c r="J12" i="76" l="1"/>
  <c r="N4" i="1" l="1"/>
  <c r="M4" i="1"/>
  <c r="W53" i="45" l="1"/>
  <c r="Q53" i="45" l="1"/>
  <c r="V53" i="45"/>
  <c r="U53" i="45"/>
  <c r="S53" i="45"/>
  <c r="H53" i="45" l="1"/>
  <c r="R53" i="45"/>
  <c r="J53" i="45"/>
  <c r="P53" i="45"/>
  <c r="T53" i="45"/>
  <c r="L53" i="45"/>
  <c r="G53" i="45" l="1"/>
  <c r="O53" i="45"/>
  <c r="K53" i="45"/>
  <c r="F53" i="45"/>
  <c r="N53" i="45"/>
  <c r="I53" i="45"/>
  <c r="E53" i="45" l="1"/>
  <c r="M53" i="45"/>
  <c r="M23" i="1" l="1"/>
  <c r="J6" i="76"/>
  <c r="J13" i="76" s="1"/>
  <c r="AJ17" i="39"/>
  <c r="AJ18" i="39" s="1"/>
  <c r="V34" i="63" l="1"/>
  <c r="S34" i="63"/>
  <c r="Q34" i="63"/>
  <c r="V5" i="63" l="1"/>
  <c r="Q5" i="63"/>
  <c r="S5" i="63"/>
  <c r="M25" i="1"/>
  <c r="T5" i="63"/>
  <c r="M16" i="1"/>
  <c r="M15" i="1" l="1"/>
  <c r="T8" i="63"/>
  <c r="T16" i="63" s="1"/>
  <c r="T18" i="63" s="1"/>
  <c r="R34" i="63"/>
  <c r="V25" i="63"/>
  <c r="S19" i="63"/>
  <c r="W34" i="63"/>
  <c r="V30" i="63"/>
  <c r="V19" i="63"/>
  <c r="Q19" i="63"/>
  <c r="Q8" i="63"/>
  <c r="Q16" i="63" s="1"/>
  <c r="Q18" i="63" s="1"/>
  <c r="S30" i="63"/>
  <c r="S8" i="63"/>
  <c r="S16" i="63" s="1"/>
  <c r="S18" i="63" s="1"/>
  <c r="V8" i="63"/>
  <c r="V16" i="63" s="1"/>
  <c r="V18" i="63" s="1"/>
  <c r="S25" i="63"/>
  <c r="T34" i="63"/>
  <c r="Q30" i="63"/>
  <c r="Q25" i="63"/>
  <c r="M9" i="1"/>
  <c r="M3" i="1" s="1"/>
  <c r="S23" i="63" l="1"/>
  <c r="Q23" i="63"/>
  <c r="V23" i="63"/>
  <c r="T30" i="63"/>
  <c r="R5" i="63"/>
  <c r="R25" i="63"/>
  <c r="T25" i="63"/>
  <c r="T19" i="63"/>
  <c r="T23" i="63" s="1"/>
  <c r="R30" i="63"/>
  <c r="R8" i="63"/>
  <c r="R16" i="63" s="1"/>
  <c r="R18" i="63" s="1"/>
  <c r="W5" i="63"/>
  <c r="W19" i="63" l="1"/>
  <c r="W30" i="63"/>
  <c r="W8" i="63"/>
  <c r="W16" i="63" s="1"/>
  <c r="W18" i="63" s="1"/>
  <c r="W25" i="63"/>
  <c r="R19" i="63"/>
  <c r="R23" i="63" s="1"/>
  <c r="W23" i="63" l="1"/>
  <c r="S36" i="63" l="1"/>
  <c r="S24" i="63" s="1"/>
  <c r="Q36" i="63"/>
  <c r="Q24" i="63" s="1"/>
  <c r="T36" i="63" l="1"/>
  <c r="T24" i="63" s="1"/>
  <c r="V36" i="63"/>
  <c r="V24" i="63" s="1"/>
  <c r="R36" i="63" l="1"/>
  <c r="R24" i="63" s="1"/>
  <c r="W36" i="63" l="1"/>
  <c r="W24" i="63" s="1"/>
  <c r="N23" i="1" l="1"/>
  <c r="N9" i="1" l="1"/>
  <c r="N3" i="1" s="1"/>
  <c r="N25" i="1"/>
  <c r="X34" i="63" l="1"/>
  <c r="N16" i="1"/>
  <c r="N15" i="1" s="1"/>
  <c r="X5" i="63" l="1"/>
  <c r="X8" i="63" l="1"/>
  <c r="X16" i="63" s="1"/>
  <c r="X19" i="63"/>
  <c r="X30" i="63"/>
  <c r="X25" i="63"/>
  <c r="X23" i="63" l="1"/>
  <c r="X18" i="63"/>
  <c r="X36" i="63" l="1"/>
  <c r="X24" i="63" s="1"/>
  <c r="I4" i="1" l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Caixa</author>
  </authors>
  <commentList>
    <comment ref="A24" authorId="0" shapeId="0" xr:uid="{C83A8472-A6E8-4A8A-BB2B-C1BBDF972239}">
      <text>
        <r>
          <rPr>
            <b/>
            <sz val="9"/>
            <color indexed="81"/>
            <rFont val="Segoe UI"/>
            <family val="2"/>
          </rPr>
          <t>Caixa:</t>
        </r>
        <r>
          <rPr>
            <sz val="9"/>
            <color indexed="81"/>
            <rFont val="Segoe UI"/>
            <family val="2"/>
          </rPr>
          <t xml:space="preserve">
Para atender à formalidade da DVA, os sinais aritméticos dos registros de distribuição serão invertidos. A lógica, todavia, é inversa.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<sst xmlns="http://schemas.openxmlformats.org/spreadsheetml/2006/main" count="5311" uniqueCount="1387">
  <si>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</si>
  <si>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</si>
  <si>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</si>
  <si>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</si>
  <si>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</si>
  <si>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</si>
  <si>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</si>
  <si>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</si>
  <si>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</si>
  <si>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</si>
  <si>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</si>
  <si>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</si>
  <si>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</si>
  <si>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</si>
  <si>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</si>
  <si>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</si>
  <si>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</si>
  <si>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</si>
  <si>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</si>
  <si>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</si>
  <si>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</si>
  <si>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</si>
  <si>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</si>
  <si>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</si>
  <si>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</si>
  <si>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</si>
  <si>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</si>
  <si>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</si>
  <si>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</si>
  <si>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</si>
  <si>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</si>
  <si>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</si>
  <si>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</si>
  <si>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</si>
  <si>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</si>
  <si>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</si>
  <si>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</si>
  <si>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</si>
  <si>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</si>
  <si>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</si>
  <si>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</si>
  <si>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</si>
  <si>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</si>
  <si>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</si>
  <si>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</si>
  <si>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</si>
  <si>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</si>
  <si>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</si>
  <si>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</si>
  <si>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</si>
  <si>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</si>
  <si>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</si>
  <si>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</si>
  <si>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</si>
  <si>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</si>
  <si>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</si>
  <si>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</si>
  <si>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</si>
  <si>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</si>
  <si>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</si>
  <si>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</si>
  <si>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</si>
  <si>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</si>
  <si>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</si>
  <si>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</si>
  <si>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</si>
  <si>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</si>
  <si>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</si>
  <si>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</si>
  <si>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</si>
  <si>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</si>
  <si>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</si>
  <si>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</si>
  <si>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</si>
  <si>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</si>
  <si>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</si>
  <si>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</si>
  <si>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</si>
  <si>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</si>
  <si>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</si>
  <si>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</si>
  <si>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</si>
  <si>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</si>
  <si>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</si>
  <si>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</si>
  <si>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</si>
  <si>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</si>
  <si>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</si>
  <si>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</si>
  <si>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</si>
  <si>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</si>
  <si>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</si>
  <si>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</si>
  <si>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</si>
  <si>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</si>
  <si>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</si>
  <si>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</si>
  <si>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</si>
  <si>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</si>
  <si>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</si>
  <si>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</si>
  <si>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</si>
  <si>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</si>
  <si>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</si>
  <si>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</si>
  <si>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</si>
  <si>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</si>
  <si>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</si>
  <si>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</si>
  <si>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</si>
  <si>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</si>
  <si>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</si>
  <si>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</si>
  <si>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</si>
  <si>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</si>
  <si>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</si>
  <si>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</si>
  <si>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</si>
  <si>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</si>
  <si>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</si>
  <si>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</si>
  <si>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</si>
  <si>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</si>
  <si>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</si>
  <si>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</si>
  <si>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</si>
  <si>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</si>
  <si>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</si>
  <si>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</si>
  <si>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</si>
  <si>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</si>
  <si>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</si>
  <si>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</si>
  <si>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</si>
  <si>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</si>
  <si>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</si>
  <si>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</si>
  <si>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</si>
  <si>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</si>
  <si>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</si>
  <si>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</si>
  <si>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</si>
  <si>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</si>
  <si>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</si>
  <si>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</si>
  <si>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</si>
  <si>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</si>
  <si>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</si>
  <si>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</si>
  <si>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</si>
  <si>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</si>
  <si>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</si>
  <si>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</si>
  <si>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</si>
  <si>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</si>
  <si>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</si>
  <si>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</si>
  <si>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</si>
  <si>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</si>
  <si>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</si>
  <si>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</si>
  <si>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</si>
  <si>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</si>
  <si>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</si>
  <si>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</si>
  <si>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</si>
  <si>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</si>
  <si>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</si>
  <si>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</si>
  <si>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</si>
  <si>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</si>
  <si>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</si>
  <si>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</si>
  <si>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</si>
  <si>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</si>
  <si>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</si>
  <si>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</si>
  <si>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</si>
  <si>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</si>
  <si>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</si>
  <si>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</si>
  <si>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</si>
  <si>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</si>
  <si>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</si>
  <si>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</si>
  <si>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</si>
  <si>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</si>
  <si>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</si>
  <si>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</si>
  <si>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</si>
  <si>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</si>
  <si>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</si>
  <si>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</si>
  <si>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</si>
  <si>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</si>
  <si>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</si>
  <si>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</si>
  <si>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</si>
  <si>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</si>
  <si>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</si>
  <si>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</si>
  <si>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</si>
  <si>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</si>
  <si>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</si>
  <si>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</si>
  <si>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</si>
  <si>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</si>
  <si>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</si>
  <si>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</si>
  <si>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</si>
  <si>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</si>
  <si>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</si>
  <si>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</si>
  <si>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</si>
  <si>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</si>
  <si>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</si>
  <si>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</si>
  <si>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</si>
  <si>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</si>
  <si>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</si>
  <si>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</si>
  <si>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</si>
  <si>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</si>
  <si>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</si>
  <si>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</si>
  <si>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</si>
  <si>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</si>
  <si>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</si>
  <si>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</si>
  <si>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</si>
  <si>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</si>
  <si>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</si>
  <si>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</si>
  <si>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</si>
  <si>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</si>
  <si>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</si>
  <si>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</si>
  <si>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</si>
  <si>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</si>
  <si>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</si>
  <si>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</si>
  <si>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</si>
  <si>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-</t>
  </si>
  <si>
    <t>Total</t>
  </si>
  <si>
    <t>TOTAL</t>
  </si>
  <si>
    <t>NÃO CIRCULANTE</t>
  </si>
  <si>
    <t>DVA</t>
  </si>
  <si>
    <t>4.9.3.10.11.01</t>
  </si>
  <si>
    <t>Descrição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</si>
  <si>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</si>
  <si>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</si>
  <si>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</si>
  <si>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</si>
  <si>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Amortização</t>
  </si>
  <si>
    <t>Marcas</t>
  </si>
  <si>
    <t>Contratos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</si>
  <si>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</si>
  <si>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</si>
  <si>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</si>
  <si>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</si>
  <si>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</si>
  <si>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Outras Despesas Operacionais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</si>
  <si>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</si>
  <si>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</si>
  <si>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</si>
  <si>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</si>
  <si>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</si>
  <si>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</si>
  <si>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</si>
  <si>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</si>
  <si>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</si>
  <si>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</si>
  <si>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</si>
  <si>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</si>
  <si>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</si>
  <si>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</si>
  <si>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</si>
  <si>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</si>
  <si>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</si>
  <si>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</si>
  <si>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</si>
  <si>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</si>
  <si>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</si>
  <si>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</si>
  <si>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</si>
  <si>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</si>
  <si>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</si>
  <si>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</si>
  <si>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</si>
  <si>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</si>
  <si>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</si>
  <si>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</si>
  <si>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</si>
  <si>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</si>
  <si>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</si>
  <si>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</si>
  <si>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</si>
  <si>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</si>
  <si>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</si>
  <si>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</si>
  <si>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</si>
  <si>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</si>
  <si>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</si>
  <si>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</si>
  <si>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</si>
  <si>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</si>
  <si>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</si>
  <si>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</si>
  <si>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</si>
  <si>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</si>
  <si>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</si>
  <si>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</si>
  <si>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</si>
  <si>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</si>
  <si>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</si>
  <si>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</si>
  <si>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</si>
  <si>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</si>
  <si>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</si>
  <si>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</si>
  <si>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</si>
  <si>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</si>
  <si>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</si>
  <si>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</si>
  <si>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</si>
  <si>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</si>
  <si>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</si>
  <si>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</si>
  <si>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</si>
  <si>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</si>
  <si>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</si>
  <si>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</si>
  <si>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</si>
  <si>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</si>
  <si>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</si>
  <si>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</si>
  <si>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</si>
  <si>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</si>
  <si>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</si>
  <si>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</si>
  <si>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</si>
  <si>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</si>
  <si>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</si>
  <si>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</si>
  <si>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</si>
  <si>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</si>
  <si>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</si>
  <si>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</si>
  <si>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</si>
  <si>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</si>
  <si>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</si>
  <si>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</si>
  <si>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</si>
  <si>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</si>
  <si>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</si>
  <si>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</si>
  <si>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</si>
  <si>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</si>
  <si>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</si>
  <si>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</si>
  <si>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</si>
  <si>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</si>
  <si>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</si>
  <si>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>Outras Receitas Operacionais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</si>
  <si>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</si>
  <si>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</si>
  <si>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</si>
  <si>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</si>
  <si>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</si>
  <si>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</si>
  <si>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</si>
  <si>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</si>
  <si>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</si>
  <si>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</si>
  <si>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</si>
  <si>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</si>
  <si>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</si>
  <si>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</si>
  <si>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</si>
  <si>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</si>
  <si>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</si>
  <si>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</si>
  <si>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</si>
  <si>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</si>
  <si>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</si>
  <si>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</si>
  <si>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</si>
  <si>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</si>
  <si>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</si>
  <si>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</si>
  <si>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</si>
  <si>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</si>
  <si>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</si>
  <si>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</si>
  <si>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</si>
  <si>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</si>
  <si>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</si>
  <si>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</si>
  <si>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</si>
  <si>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</si>
  <si>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</si>
  <si>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</si>
  <si>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</si>
  <si>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</si>
  <si>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</si>
  <si>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</si>
  <si>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</si>
  <si>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</si>
  <si>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</si>
  <si>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</si>
  <si>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</si>
  <si>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</si>
  <si>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</si>
  <si>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</si>
  <si>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</si>
  <si>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</si>
  <si>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</si>
  <si>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</si>
  <si>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</si>
  <si>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</si>
  <si>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</si>
  <si>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</si>
  <si>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</si>
  <si>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</si>
  <si>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</si>
  <si>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</si>
  <si>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</si>
  <si>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</si>
  <si>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</si>
  <si>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</si>
  <si>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</si>
  <si>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</si>
  <si>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</si>
  <si>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</si>
  <si>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</si>
  <si>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</si>
  <si>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</si>
  <si>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</si>
  <si>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</si>
  <si>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</si>
  <si>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</si>
  <si>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</si>
  <si>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</si>
  <si>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</si>
  <si>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</si>
  <si>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</si>
  <si>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</si>
  <si>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</si>
  <si>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</si>
  <si>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</si>
  <si>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</si>
  <si>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</si>
  <si>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</si>
  <si>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</si>
  <si>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</si>
  <si>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</si>
  <si>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</si>
  <si>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</si>
  <si>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</si>
  <si>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</si>
  <si>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</si>
  <si>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</si>
  <si>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</si>
  <si>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</si>
  <si>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</si>
  <si>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</si>
  <si>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</si>
  <si>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</si>
  <si>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</si>
  <si>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</si>
  <si>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</si>
  <si>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</si>
  <si>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</si>
  <si>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</si>
  <si>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</si>
  <si>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</si>
  <si>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</si>
  <si>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</si>
  <si>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</si>
  <si>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</si>
  <si>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</si>
  <si>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</si>
  <si>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</si>
  <si>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</si>
  <si>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</si>
  <si>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</si>
  <si>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</si>
  <si>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</si>
  <si>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</si>
  <si>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</si>
  <si>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</si>
  <si>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</si>
  <si>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</si>
  <si>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</si>
  <si>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</si>
  <si>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</si>
  <si>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</si>
  <si>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</si>
  <si>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</si>
  <si>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</si>
  <si>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</si>
  <si>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</si>
  <si>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</si>
  <si>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</si>
  <si>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</si>
  <si>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</si>
  <si>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</si>
  <si>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</si>
  <si>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</si>
  <si>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</si>
  <si>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</si>
  <si>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</si>
  <si>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</si>
  <si>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</si>
  <si>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</si>
  <si>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</si>
  <si>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</si>
  <si>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</si>
  <si>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</si>
  <si>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</si>
  <si>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</si>
  <si>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</si>
  <si>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</si>
  <si>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</si>
  <si>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</si>
  <si>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</si>
  <si>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</si>
  <si>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</si>
  <si>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</si>
  <si>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</si>
  <si>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</si>
  <si>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</si>
  <si>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</si>
  <si>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</si>
  <si>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</si>
  <si>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</si>
  <si>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</si>
  <si>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</si>
  <si>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</si>
  <si>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</si>
  <si>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</si>
  <si>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</si>
  <si>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</si>
  <si>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</si>
  <si>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</si>
  <si>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</si>
  <si>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</si>
  <si>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</si>
  <si>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</si>
  <si>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</si>
  <si>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</si>
  <si>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</si>
  <si>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</si>
  <si>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</si>
  <si>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</si>
  <si>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</si>
  <si>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</si>
  <si>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</si>
  <si>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</si>
  <si>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</si>
  <si>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</si>
  <si>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</si>
  <si>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</si>
  <si>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</si>
  <si>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</si>
  <si>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</si>
  <si>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</si>
  <si>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</si>
  <si>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</si>
  <si>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</si>
  <si>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</si>
  <si>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</si>
  <si>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</si>
  <si>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</si>
  <si>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</si>
  <si>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</si>
  <si>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</si>
  <si>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</si>
  <si>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</si>
  <si>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</si>
  <si>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</si>
  <si>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</si>
  <si>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</si>
  <si>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</si>
  <si>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</si>
  <si>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</si>
  <si>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</si>
  <si>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</si>
  <si>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</si>
  <si>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</si>
  <si>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</si>
  <si>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</si>
  <si>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</si>
  <si>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</si>
  <si>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</si>
  <si>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</si>
  <si>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</si>
  <si>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</si>
  <si>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</si>
  <si>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</si>
  <si>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</si>
  <si>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Capgemini</t>
  </si>
  <si>
    <t>PROVISAO IR - VALORES DIFERIDOS</t>
  </si>
  <si>
    <t>PROVISAO PARA CSLL - VALORES DIFERIDOS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</si>
  <si>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</si>
  <si>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</si>
  <si>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</si>
  <si>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</si>
  <si>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</si>
  <si>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</si>
  <si>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</si>
  <si>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</si>
  <si>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</si>
  <si>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</si>
  <si>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Saldo Inicial</t>
  </si>
  <si>
    <t>Saldo Final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</si>
  <si>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</si>
  <si>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</si>
  <si>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</si>
  <si>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</si>
  <si>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</si>
  <si>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</si>
  <si>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</si>
  <si>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</si>
  <si>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</si>
  <si>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</si>
  <si>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</si>
  <si>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</si>
  <si>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</si>
  <si>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</si>
  <si>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</si>
  <si>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</si>
  <si>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</si>
  <si>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</si>
  <si>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</si>
  <si>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</si>
  <si>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</si>
  <si>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</si>
  <si>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</si>
  <si>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</si>
  <si>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</si>
  <si>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</si>
  <si>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</si>
  <si>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</si>
  <si>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</si>
  <si>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</si>
  <si>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</si>
  <si>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</si>
  <si>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</si>
  <si>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</si>
  <si>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</si>
  <si>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</si>
  <si>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</si>
  <si>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</si>
  <si>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</si>
  <si>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</si>
  <si>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</si>
  <si>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</si>
  <si>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</si>
  <si>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</si>
  <si>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</si>
  <si>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</si>
  <si>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</si>
  <si>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</si>
  <si>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</si>
  <si>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</si>
  <si>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</si>
  <si>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</si>
  <si>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</si>
  <si>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</si>
  <si>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</si>
  <si>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</si>
  <si>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</si>
  <si>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</si>
  <si>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</si>
  <si>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</si>
  <si>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</si>
  <si>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</si>
  <si>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</si>
  <si>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</si>
  <si>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</si>
  <si>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</si>
  <si>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</si>
  <si>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</si>
  <si>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</si>
  <si>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</si>
  <si>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</si>
  <si>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A soma confere?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</si>
  <si>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</si>
  <si>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</si>
  <si>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</si>
  <si>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</si>
  <si>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</si>
  <si>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</si>
  <si>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</si>
  <si>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</si>
  <si>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</si>
  <si>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</si>
  <si>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</si>
  <si>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</si>
  <si>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</si>
  <si>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</si>
  <si>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</si>
  <si>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</si>
  <si>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</si>
  <si>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</si>
  <si>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</si>
  <si>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</si>
  <si>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</si>
  <si>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</si>
  <si>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</si>
  <si>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</si>
  <si>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</si>
  <si>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</si>
  <si>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</si>
  <si>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</si>
  <si>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</si>
  <si>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</si>
  <si>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</si>
  <si>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</si>
  <si>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</si>
  <si>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</si>
  <si>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</si>
  <si>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</si>
  <si>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</si>
  <si>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</si>
  <si>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</si>
  <si>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</si>
  <si>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</si>
  <si>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</si>
  <si>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</si>
  <si>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</si>
  <si>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</si>
  <si>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</si>
  <si>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</si>
  <si>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</si>
  <si>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</si>
  <si>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</si>
  <si>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</si>
  <si>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>Outros Resultados Abrangentes</t>
  </si>
  <si>
    <t>Prazo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</si>
  <si>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</si>
  <si>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</si>
  <si>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</si>
  <si>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</si>
  <si>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</si>
  <si>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</si>
  <si>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</si>
  <si>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</si>
  <si>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</si>
  <si>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</si>
  <si>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</si>
  <si>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</si>
  <si>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</si>
  <si>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</si>
  <si>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</si>
  <si>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</si>
  <si>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</si>
  <si>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</si>
  <si>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</si>
  <si>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</si>
  <si>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</si>
  <si>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</si>
  <si>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</si>
  <si>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</si>
  <si>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</si>
  <si>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</si>
  <si>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</si>
  <si>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</si>
  <si>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</si>
  <si>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</si>
  <si>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</si>
  <si>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</si>
  <si>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</si>
  <si>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</si>
  <si>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</si>
  <si>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</si>
  <si>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</si>
  <si>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</si>
  <si>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</si>
  <si>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</si>
  <si>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</si>
  <si>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</si>
  <si>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</si>
  <si>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</si>
  <si>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</si>
  <si>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</si>
  <si>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</si>
  <si>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</si>
  <si>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</si>
  <si>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</si>
  <si>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</si>
  <si>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</si>
  <si>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</si>
  <si>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</si>
  <si>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</si>
  <si>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</si>
  <si>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</si>
  <si>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</si>
  <si>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</si>
  <si>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</si>
  <si>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</si>
  <si>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</si>
  <si>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</si>
  <si>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</si>
  <si>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</si>
  <si>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</si>
  <si>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</si>
  <si>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</si>
  <si>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</si>
  <si>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</si>
  <si>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</si>
  <si>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</si>
  <si>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</si>
  <si>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</si>
  <si>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</si>
  <si>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</si>
  <si>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</si>
  <si>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</si>
  <si>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</si>
  <si>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</si>
  <si>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</si>
  <si>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</si>
  <si>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</si>
  <si>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</si>
  <si>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</si>
  <si>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</si>
  <si>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</si>
  <si>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</si>
  <si>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</si>
  <si>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</si>
  <si>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</si>
  <si>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</si>
  <si>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</si>
  <si>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</si>
  <si>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</si>
  <si>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</si>
  <si>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</si>
  <si>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</si>
  <si>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</si>
  <si>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</si>
  <si>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</si>
  <si>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</si>
  <si>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</si>
  <si>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</si>
  <si>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</si>
  <si>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</si>
  <si>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</si>
  <si>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</si>
  <si>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</si>
  <si>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</si>
  <si>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</si>
  <si>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</si>
  <si>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</si>
  <si>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</si>
  <si>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</si>
  <si>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</si>
  <si>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</si>
  <si>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</si>
  <si>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</si>
  <si>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</si>
  <si>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</si>
  <si>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</si>
  <si>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</si>
  <si>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</si>
  <si>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</si>
  <si>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</si>
  <si>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</si>
  <si>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</si>
  <si>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</si>
  <si>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</si>
  <si>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</si>
  <si>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</si>
  <si>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</si>
  <si>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</si>
  <si>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</si>
  <si>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</si>
  <si>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</si>
  <si>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</si>
  <si>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</si>
  <si>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</si>
  <si>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</si>
  <si>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</si>
  <si>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</si>
  <si>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</si>
  <si>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</si>
  <si>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</si>
  <si>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</si>
  <si>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</si>
  <si>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</si>
  <si>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</si>
  <si>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</si>
  <si>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</si>
  <si>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</si>
  <si>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</si>
  <si>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</si>
  <si>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</si>
  <si>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</si>
  <si>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</si>
  <si>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</si>
  <si>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</si>
  <si>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</si>
  <si>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</si>
  <si>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</si>
  <si>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</si>
  <si>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</si>
  <si>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</si>
  <si>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</si>
  <si>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</si>
  <si>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</si>
  <si>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</si>
  <si>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</si>
  <si>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</si>
  <si>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</si>
  <si>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</si>
  <si>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</si>
  <si>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</si>
  <si>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</si>
  <si>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</si>
  <si>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</si>
  <si>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</si>
  <si>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</si>
  <si>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</si>
  <si>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</si>
  <si>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</si>
  <si>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</si>
  <si>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</si>
  <si>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</si>
  <si>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</si>
  <si>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</si>
  <si>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</si>
  <si>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</si>
  <si>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</si>
  <si>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</si>
  <si>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</si>
  <si>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</si>
  <si>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</si>
  <si>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</si>
  <si>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</si>
  <si>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</si>
  <si>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</si>
  <si>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</si>
  <si>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</si>
  <si>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</si>
  <si>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</si>
  <si>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</si>
  <si>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</si>
  <si>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</si>
  <si>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</si>
  <si>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</si>
  <si>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</si>
  <si>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</si>
  <si>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</si>
  <si>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</si>
  <si>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</si>
  <si>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</si>
  <si>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</si>
  <si>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</si>
  <si>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</si>
  <si>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</si>
  <si>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</si>
  <si>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</si>
  <si>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</si>
  <si>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</si>
  <si>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</si>
  <si>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</si>
  <si>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</si>
  <si>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</si>
  <si>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</si>
  <si>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</si>
  <si>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</si>
  <si>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</si>
  <si>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</si>
  <si>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</si>
  <si>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</si>
  <si>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</si>
  <si>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</si>
  <si>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</si>
  <si>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</si>
  <si>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</si>
  <si>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</si>
  <si>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</si>
  <si>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</si>
  <si>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</si>
  <si>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</si>
  <si>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Lucros e Prejuízos Acumulados</t>
  </si>
  <si>
    <t>26/02/2016   P</t>
  </si>
  <si>
    <t>DIVIDENDOS E BONIFIC A PAGAR</t>
  </si>
  <si>
    <t>DIVIDENDOS PROPOSTOS A PAGAR</t>
  </si>
  <si>
    <t>TOTAL PASSIVO PROVISORIO:            3.808.452.360,92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</si>
  <si>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</si>
  <si>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</si>
  <si>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</si>
  <si>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</si>
  <si>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</si>
  <si>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</si>
  <si>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</si>
  <si>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</si>
  <si>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</si>
  <si>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</si>
  <si>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</si>
  <si>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</si>
  <si>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</si>
  <si>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    Parcela cindida</t>
  </si>
  <si>
    <t>Resultado do Exercício</t>
  </si>
  <si>
    <t>Resultado do Exercício Ajustado</t>
  </si>
  <si>
    <t>Valor Contábil - Acervo Cindido</t>
  </si>
  <si>
    <t>Saldos dos investimentos cindidos em 30/06/2015</t>
  </si>
  <si>
    <t>Tributos Diferidos</t>
  </si>
  <si>
    <t>Ativo</t>
  </si>
  <si>
    <t>2013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</si>
  <si>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</si>
  <si>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</si>
  <si>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</si>
  <si>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</si>
  <si>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</si>
  <si>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</si>
  <si>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</si>
  <si>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</si>
  <si>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</si>
  <si>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</si>
  <si>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</si>
  <si>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</si>
  <si>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</si>
  <si>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</si>
  <si>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</si>
  <si>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</si>
  <si>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</si>
  <si>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</si>
  <si>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</si>
  <si>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</si>
  <si>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</si>
  <si>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</si>
  <si>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</si>
  <si>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</si>
  <si>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</si>
  <si>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</si>
  <si>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</si>
  <si>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</si>
  <si>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</si>
  <si>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</si>
  <si>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</si>
  <si>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</si>
  <si>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</si>
  <si>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</si>
  <si>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</si>
  <si>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</si>
  <si>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</si>
  <si>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</si>
  <si>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</si>
  <si>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</si>
  <si>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</si>
  <si>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</si>
  <si>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</si>
  <si>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</si>
  <si>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</si>
  <si>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</si>
  <si>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</si>
  <si>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</si>
  <si>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</si>
  <si>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</si>
  <si>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</si>
  <si>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</si>
  <si>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</si>
  <si>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</si>
  <si>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</si>
  <si>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</si>
  <si>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</si>
  <si>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</si>
  <si>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</si>
  <si>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</si>
  <si>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</si>
  <si>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</si>
  <si>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</si>
  <si>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</si>
  <si>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</si>
  <si>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</si>
  <si>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</si>
  <si>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</si>
  <si>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</si>
  <si>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</si>
  <si>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</si>
  <si>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</si>
  <si>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</si>
  <si>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</si>
  <si>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</si>
  <si>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</si>
  <si>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</si>
  <si>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</si>
  <si>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</si>
  <si>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</si>
  <si>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</si>
  <si>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</si>
  <si>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</si>
  <si>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</si>
  <si>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</si>
  <si>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</si>
  <si>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</si>
  <si>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</si>
  <si>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</si>
  <si>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</si>
  <si>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</si>
  <si>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</si>
  <si>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</si>
  <si>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</si>
  <si>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</si>
  <si>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</si>
  <si>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</si>
  <si>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</si>
  <si>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</si>
  <si>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</si>
  <si>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</si>
  <si>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</si>
  <si>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</si>
  <si>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</si>
  <si>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Despesas Gerais e Administrativas</t>
  </si>
  <si>
    <t>Despesas Financeiras</t>
  </si>
  <si>
    <t>Investimentos</t>
  </si>
  <si>
    <t>Ajustes de Avaliação Patrimonial</t>
  </si>
  <si>
    <t>Resultado de Equivalência Patrimonial</t>
  </si>
  <si>
    <t>&amp;l1O_x001B_(s13H_x001B_(19U_x001B_&amp;l5.3C_x001B_&amp;l66F_x001B_&amp;a3L_x001B_&amp;k0G23/02/2017   PZ.ARQ: 30A</t>
  </si>
  <si>
    <t xml:space="preserve">    Reserva de Margem Operacional</t>
  </si>
  <si>
    <t>8.1.8.30.11.01</t>
  </si>
  <si>
    <t>Despesa de Pessoal</t>
  </si>
  <si>
    <t>Despesas de Tributos</t>
  </si>
  <si>
    <t>Balanço Patrimonial</t>
  </si>
  <si>
    <t>Ativo Circulante</t>
  </si>
  <si>
    <t>Caixa e Equivalentes de Caixa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</si>
  <si>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</si>
  <si>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</si>
  <si>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</si>
  <si>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</si>
  <si>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</si>
  <si>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</si>
  <si>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</si>
  <si>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</si>
  <si>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</si>
  <si>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Receitas e Despesas Operacionais</t>
  </si>
  <si>
    <t>Outras Receitas e Despesas Operacionais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</si>
  <si>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</si>
  <si>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</si>
  <si>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</si>
  <si>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</si>
  <si>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</si>
  <si>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Participações sobre o Resultado - Dirigentes</t>
  </si>
  <si>
    <t>Resultado Líquido do Exercício</t>
  </si>
  <si>
    <t>Quantidade de Ações</t>
  </si>
  <si>
    <t>Ganhos e Perdas Não Realizados - Próprios</t>
  </si>
  <si>
    <t>Efeitos Tributários</t>
  </si>
  <si>
    <t>Ganhos e Perdas Não Realizados - Investidas</t>
  </si>
  <si>
    <t>Ganhos e Perdas por Variação na Participação Relativa em Investidas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</si>
  <si>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</si>
  <si>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</si>
  <si>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</si>
  <si>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</si>
  <si>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</si>
  <si>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</si>
  <si>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</si>
  <si>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</si>
  <si>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</si>
  <si>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</si>
  <si>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</si>
  <si>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</si>
  <si>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</si>
  <si>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</si>
  <si>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</si>
  <si>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</si>
  <si>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</si>
  <si>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</si>
  <si>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</si>
  <si>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</si>
  <si>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</si>
  <si>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</si>
  <si>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</si>
  <si>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</si>
  <si>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</si>
  <si>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</si>
  <si>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</si>
  <si>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</si>
  <si>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</si>
  <si>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</si>
  <si>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</si>
  <si>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</si>
  <si>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</si>
  <si>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</si>
  <si>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</si>
  <si>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</si>
  <si>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</si>
  <si>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</si>
  <si>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</si>
  <si>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</si>
  <si>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</si>
  <si>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</si>
  <si>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</si>
  <si>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</si>
  <si>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</si>
  <si>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</si>
  <si>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>Fluxo de Caixa das Atividades Operacionais</t>
  </si>
  <si>
    <t>Despesas de Convênio com a Controladora</t>
  </si>
  <si>
    <t>Despesa de Serviços Técnicos Especializados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</si>
  <si>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</si>
  <si>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</si>
  <si>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</si>
  <si>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</si>
  <si>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</si>
  <si>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</si>
  <si>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</si>
  <si>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</si>
  <si>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</si>
  <si>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</si>
  <si>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</si>
  <si>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</si>
  <si>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</si>
  <si>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</si>
  <si>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</si>
  <si>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</si>
  <si>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</si>
  <si>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</si>
  <si>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</si>
  <si>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</si>
  <si>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</si>
  <si>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Prazo (meses)</t>
  </si>
  <si>
    <t>Resultado Antes das Participações</t>
  </si>
  <si>
    <t>Instrumentos Financeiros - Próprios</t>
  </si>
  <si>
    <t>Demonstração dos Fluxos de Caixa</t>
  </si>
  <si>
    <t>jun-18</t>
  </si>
  <si>
    <t>dez-17</t>
  </si>
  <si>
    <t>Demonstração do Valor Adicionado</t>
  </si>
  <si>
    <t>(Nota 11)</t>
  </si>
  <si>
    <t>(Nota 5)</t>
  </si>
  <si>
    <t>Ganhos e Perdas em Outros Resultados Abrangentes de Investidas</t>
  </si>
  <si>
    <t>Passivo Fiscal Diferido</t>
  </si>
  <si>
    <t>(Aumento)/Redução de Instrumentos Financeiros</t>
  </si>
  <si>
    <t>Instrumentos Financeiros</t>
  </si>
  <si>
    <t>Dividendos e Juros sobre o Capital Próprio a Receber</t>
  </si>
  <si>
    <t>Instrumentos Financeiros - Custo Amortizado</t>
  </si>
  <si>
    <t>Lucros ou Prejuízos Acumulados</t>
  </si>
  <si>
    <t>Demonstração das Mutações do Patrimônio Líquido - Apresentação</t>
  </si>
  <si>
    <t>Conciliação Contábil</t>
  </si>
  <si>
    <t>Reserva Legal</t>
  </si>
  <si>
    <t>Reserva Estatutária</t>
  </si>
  <si>
    <t>Retenção de Lucros - Orçamento de Capital</t>
  </si>
  <si>
    <t>Em</t>
  </si>
  <si>
    <t>Outros Ajustes de Avaliação Patrimonial - Reflexos</t>
  </si>
  <si>
    <t>Ajustes de Exercícios Anteriores</t>
  </si>
  <si>
    <t>Receitas Financeiras</t>
  </si>
  <si>
    <t>1.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</si>
  <si>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</si>
  <si>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</si>
  <si>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</si>
  <si>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</si>
  <si>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</si>
  <si>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Serviços Técnicos Especializados</t>
  </si>
  <si>
    <t>3.</t>
  </si>
  <si>
    <t>Valor Adicionado Bruto (1 - 2)</t>
  </si>
  <si>
    <t>4.</t>
  </si>
  <si>
    <t>Valor Adicionado Recebido em Transferência</t>
  </si>
  <si>
    <t>Receita de Juros sobre o Capital Próprio</t>
  </si>
  <si>
    <t>5.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</si>
  <si>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</si>
  <si>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</si>
  <si>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</si>
  <si>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</si>
  <si>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</si>
  <si>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</si>
  <si>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Impostos, Taxas e Contribuições</t>
  </si>
  <si>
    <t>INSS</t>
  </si>
  <si>
    <t>Outros Impostos, Taxas e Contribuições</t>
  </si>
  <si>
    <t>Remuneração de Capital de Terceiros</t>
  </si>
  <si>
    <t>Lucros Retidos</t>
  </si>
  <si>
    <t>Receitas</t>
  </si>
  <si>
    <t>Impairment</t>
  </si>
  <si>
    <t>Intangíveis</t>
  </si>
  <si>
    <t>Demonstração do Resultado Abrangente</t>
  </si>
  <si>
    <t>Ganhos e Perdas em Aquisições e Alienações de Investimentos</t>
  </si>
  <si>
    <t>Obrigações de Instrumentos Financeiros</t>
  </si>
  <si>
    <t>Outras Obrigações</t>
  </si>
  <si>
    <t>Aumento/(Redução) de Obrigações de Instrumentos Financeiros</t>
  </si>
  <si>
    <t>Despesas de Provisão</t>
  </si>
  <si>
    <t>Resultado de Transações Patrimoniais entre Sócios</t>
  </si>
  <si>
    <t>1T19</t>
  </si>
  <si>
    <t>1T18</t>
  </si>
  <si>
    <t>Dividendos Adicionais Propostos</t>
  </si>
  <si>
    <t>2T19</t>
  </si>
  <si>
    <t>2T18</t>
  </si>
  <si>
    <t>1S19</t>
  </si>
  <si>
    <t>1S18</t>
  </si>
  <si>
    <t>Resultado Líquido do Período</t>
  </si>
  <si>
    <t>Lucro Líquido por Ação (em R$)</t>
  </si>
  <si>
    <t>Recuperação de Despesas por Convênio</t>
  </si>
  <si>
    <t>Convênio com Entidade sob Controle Comum</t>
  </si>
  <si>
    <t>Check</t>
  </si>
  <si>
    <t>Capgemini - Intangível</t>
  </si>
  <si>
    <t>Capgemini - Intangível Amortização (-)</t>
  </si>
  <si>
    <t>Capgemini - Intangível - Impairment (-)</t>
  </si>
  <si>
    <t>Capgemini - Goodwill</t>
  </si>
  <si>
    <t>Capgemini - Goodwill - Impairment (-)</t>
  </si>
  <si>
    <t>(Nota 3)</t>
  </si>
  <si>
    <t>(Nota 4.c)</t>
  </si>
  <si>
    <t>(Nota 4.d)</t>
  </si>
  <si>
    <t>(Nota 8)</t>
  </si>
  <si>
    <t>(Nota 12)</t>
  </si>
  <si>
    <t>(Nota 4.b)</t>
  </si>
  <si>
    <t>3T19</t>
  </si>
  <si>
    <t>3T18</t>
  </si>
  <si>
    <t>9M19</t>
  </si>
  <si>
    <t>9M18</t>
  </si>
  <si>
    <t>Demonstração das Mutações do Patrimônio Líquido</t>
  </si>
  <si>
    <t>Integralização de Capital</t>
  </si>
  <si>
    <t>Aumento/(Redução) de Obrigações com Coligadas e Controladas em Conjunto</t>
  </si>
  <si>
    <t>Aumento/(Redução) de Obrigações com Entidades sob Controle Comum</t>
  </si>
  <si>
    <t>Aumento/(Redução) de Provisões</t>
  </si>
  <si>
    <t>Alienação de Participação Societária / Redução de Capital</t>
  </si>
  <si>
    <t>Atualização Monetária em Alienação de Participação Societária</t>
  </si>
  <si>
    <t>4T18</t>
  </si>
  <si>
    <t>Amort./Baixa</t>
  </si>
  <si>
    <t>Dividendo Obrigatório</t>
  </si>
  <si>
    <t>Remuneração de Capital Próprio</t>
  </si>
  <si>
    <t>Valor Adicionado Líquido Produzido pela Entidade</t>
  </si>
  <si>
    <t>7.</t>
  </si>
  <si>
    <t>Valor Adicionado Total a Distribuir (5 + 6)</t>
  </si>
  <si>
    <t>8.</t>
  </si>
  <si>
    <t>(Nota 10)</t>
  </si>
  <si>
    <r>
      <t>Ágio (</t>
    </r>
    <r>
      <rPr>
        <i/>
        <sz val="11"/>
        <color rgb="FF005CA9"/>
        <rFont val="Futura Lt BT"/>
        <family val="2"/>
      </rPr>
      <t>Goodwill</t>
    </r>
    <r>
      <rPr>
        <sz val="11"/>
        <color rgb="FF005CA9"/>
        <rFont val="Futura Lt BT"/>
        <family val="2"/>
      </rPr>
      <t>)</t>
    </r>
  </si>
  <si>
    <t>(Nota 9.c)</t>
  </si>
  <si>
    <t>(Nota 7)</t>
  </si>
  <si>
    <t>Ativo Fiscal Diferido</t>
  </si>
  <si>
    <r>
      <t xml:space="preserve">Redução ao Valor Recuperável do </t>
    </r>
    <r>
      <rPr>
        <i/>
        <sz val="9"/>
        <color rgb="FF005CA9"/>
        <rFont val="Futura Lt BT"/>
        <family val="2"/>
      </rPr>
      <t>Goodwill</t>
    </r>
    <r>
      <rPr>
        <sz val="9"/>
        <color rgb="FF005CA9"/>
        <rFont val="Futura Lt BT"/>
        <family val="2"/>
      </rPr>
      <t xml:space="preserve"> (-)</t>
    </r>
  </si>
  <si>
    <t>Redução ao Valor Recuperável dos Intangíveis (-)</t>
  </si>
  <si>
    <t>Provisão para Redução ao Valor Recuperável</t>
  </si>
  <si>
    <t>2.1.2.99.23.01</t>
  </si>
  <si>
    <t>4T19</t>
  </si>
  <si>
    <t>(Nota 9.b)</t>
  </si>
  <si>
    <t>1T20</t>
  </si>
  <si>
    <t>Reversão de Provisão</t>
  </si>
  <si>
    <r>
      <t>Impairment</t>
    </r>
    <r>
      <rPr>
        <b/>
        <sz val="11"/>
        <color rgb="FF005CA9"/>
        <rFont val="Futura Lt BT"/>
        <family val="2"/>
      </rPr>
      <t xml:space="preserve"> /
Reversão</t>
    </r>
  </si>
  <si>
    <t>Resultado Abrangente do Período</t>
  </si>
  <si>
    <t>Ajustes ao Resultado do Período</t>
  </si>
  <si>
    <t>Resultado de Participações Societárias</t>
  </si>
  <si>
    <t>Imobilizado</t>
  </si>
  <si>
    <t>Obrigações por Empréstimos e Repasses</t>
  </si>
  <si>
    <t>2T20</t>
  </si>
  <si>
    <t>Incorporação ao Capital</t>
  </si>
  <si>
    <t>Redução de Capital</t>
  </si>
  <si>
    <t>Distribuição de Reservas</t>
  </si>
  <si>
    <t>1S20</t>
  </si>
  <si>
    <t>(Aumento)/Redução de Imobilizado</t>
  </si>
  <si>
    <r>
      <t>(Impairment)</t>
    </r>
    <r>
      <rPr>
        <b/>
        <sz val="11"/>
        <color rgb="FF005CA9"/>
        <rFont val="Futura Lt BT"/>
        <family val="2"/>
      </rPr>
      <t xml:space="preserve"> /
Reversão</t>
    </r>
  </si>
  <si>
    <t>Instrumentos Financeiros - De Investidas</t>
  </si>
  <si>
    <t>Ganhos e Perdas por Variação na Participação Relativa</t>
  </si>
  <si>
    <t>(Notas 4.a; 4.b)</t>
  </si>
  <si>
    <t>3T20</t>
  </si>
  <si>
    <t>9M20</t>
  </si>
  <si>
    <t>Cisão Societária</t>
  </si>
  <si>
    <t>Instrumentos Financeiros - VJORA - De Coligadas e Controladas em Conjunto</t>
  </si>
  <si>
    <t>Proposta da Administração para as Destinações do Exercício:</t>
  </si>
  <si>
    <t>\</t>
  </si>
  <si>
    <t>4T20</t>
  </si>
  <si>
    <t>1T21</t>
  </si>
  <si>
    <t>As notas explicativas da administração são parte integrante das demonstrações contábeis intermediárias.</t>
  </si>
  <si>
    <t>Demonstração do Resultado</t>
  </si>
  <si>
    <t>Provisionamento de Juros sobre o Capital Próprio</t>
  </si>
  <si>
    <t>Juros sobre o Capital Próprio</t>
  </si>
  <si>
    <t>Constituição de Dividendos Adicionais Propostos</t>
  </si>
  <si>
    <t>Provisionamento de Dividendo Obrigatório</t>
  </si>
  <si>
    <t>Constituição de Reserva Especial</t>
  </si>
  <si>
    <t>Reserva Especial</t>
  </si>
  <si>
    <t>Constituição de Retenção de Lucros - Orçamento de Capital</t>
  </si>
  <si>
    <t>Constituição de Reserva de Lucros a Realizar</t>
  </si>
  <si>
    <t>Reserva de Lucros a Realizar</t>
  </si>
  <si>
    <t>Constituição de Reserva Estatutária</t>
  </si>
  <si>
    <t>Constituição de Reserva Legal</t>
  </si>
  <si>
    <t>Ajuste ao Valor de Mercado de Instrumentos Financeiros - VJORA - De Investidas</t>
  </si>
  <si>
    <t>Reclassificação de Rendas de Instrumentos Financeiros - VJORA - Próprios</t>
  </si>
  <si>
    <t>Tributos sobre Operações com Instrumentos Financeiros - VJORA - Próprios</t>
  </si>
  <si>
    <t>Ganhos e Perdas em Operações com Instrumentos Financeiros - VJORA - Próprios</t>
  </si>
  <si>
    <t>Provisão para Tributos Diferidos de Instrumentos Financeiros - VJORA - Próprios</t>
  </si>
  <si>
    <t>Ajuste ao Valor de Mercado de Instrumentos Financeiros - VJORA - Próprios</t>
  </si>
  <si>
    <t>Instrumentos Financeiros - VJORA - Próprios</t>
  </si>
  <si>
    <t>(Nota 5.a)</t>
  </si>
  <si>
    <t>(Nota 8.c)</t>
  </si>
  <si>
    <t>(Nota 13.c)</t>
  </si>
  <si>
    <t>(Nota 9.a)</t>
  </si>
  <si>
    <t>31 de dezembro de 2019</t>
  </si>
  <si>
    <t>31 de março de 2020</t>
  </si>
  <si>
    <t>31 de dezembro de 2020</t>
  </si>
  <si>
    <t>31 de março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</si>
</sst>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70" formatCode="_(* #,##0,_);_(* \(#,##0,\);_(* &quot;-&quot;_);_(@_)"/>
    <numFmt numFmtId="171" formatCode="&quot;31 de &quot;mmmm&quot; de &quot;yyyy"/>
    <numFmt numFmtId="172" formatCode="_(* #,##0.000,_);_(* \(#,##0.000,\);_(* &quot;-&quot;_);_(@_)"/>
    <numFmt numFmtId="175" formatCode="_-&quot;R$&quot;\ * #,##0.00_-;\-&quot;R$&quot;\ * #,##0.00_-;_-&quot;R$&quot;\ * &quot;-&quot;??_-;_-@_-"/>
    <numFmt numFmtId="176" formatCode="_-* #,##0.00_-;\-* #,##0.00_-;_-* &quot;-&quot;??_-;_-@_-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color indexed="8"/>
      <name val="Courier New"/>
      <family val="3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10"/>
      <color indexed="8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theme="1"/>
      <name val="Times New Roman"/>
      <family val="2"/>
    </font>
    <font>
      <b/>
      <sz val="9"/>
      <color rgb="FF005CA9"/>
      <name val="Futura Lt BT"/>
      <family val="2"/>
    </font>
    <font>
      <sz val="9"/>
      <name val="Futura Lt BT"/>
      <family val="2"/>
    </font>
    <font>
      <sz val="9"/>
      <color theme="4" tint="-0.499984740745262"/>
      <name val="Futura Lt BT"/>
      <family val="2"/>
    </font>
    <font>
      <b/>
      <shadow/>
      <sz val="9"/>
      <color theme="0"/>
      <name val="Futura Lt BT"/>
      <family val="2"/>
    </font>
    <font>
      <i/>
      <sz val="9"/>
      <color rgb="FFC00000"/>
      <name val="Futura Lt BT"/>
      <family val="2"/>
    </font>
    <font>
      <sz val="9"/>
      <color rgb="FF005CA9"/>
      <name val="Futura Lt BT"/>
      <family val="2"/>
    </font>
    <font>
      <b/>
      <shadow/>
      <sz val="9"/>
      <color rgb="FF005CA9"/>
      <name val="Futura Lt BT"/>
      <family val="2"/>
    </font>
    <font>
      <i/>
      <sz val="9"/>
      <color rgb="FF005CA9"/>
      <name val="Futura Lt BT"/>
      <family val="2"/>
    </font>
    <font>
      <sz val="9"/>
      <color theme="0"/>
      <name val="Futura Lt BT"/>
      <family val="2"/>
    </font>
    <font>
      <b/>
      <i/>
      <sz val="9"/>
      <color rgb="FF005CA9"/>
      <name val="Futura Lt BT"/>
      <family val="2"/>
    </font>
    <font>
      <i/>
      <sz val="9"/>
      <color indexed="62"/>
      <name val="Futura Lt BT"/>
      <family val="2"/>
    </font>
    <font>
      <b/>
      <sz val="9"/>
      <color theme="0"/>
      <name val="Futura Lt BT"/>
      <family val="2"/>
    </font>
    <font>
      <sz val="9"/>
      <color rgb="FF005CA9"/>
      <name val="Futura Lt BT"/>
      <family val="2"/>
    </font>
    <font>
      <b/>
      <sz val="9"/>
      <color rgb="FF005CA9"/>
      <name val="Futura Lt BT"/>
      <family val="2"/>
    </font>
    <font>
      <sz val="10"/>
      <name val="Arial"/>
      <family val="2"/>
    </font>
    <font>
      <b/>
      <sz val="11"/>
      <color rgb="FF005CA9"/>
      <name val="Futura Lt BT"/>
      <family val="2"/>
    </font>
    <font>
      <sz val="11"/>
      <color rgb="FF005CA9"/>
      <name val="Futura Lt BT"/>
      <family val="2"/>
    </font>
    <font>
      <b/>
      <i/>
      <sz val="11"/>
      <color rgb="FF005CA9"/>
      <name val="Futura Lt BT"/>
      <family val="2"/>
    </font>
    <font>
      <i/>
      <sz val="11"/>
      <color rgb="FF005CA9"/>
      <name val="Futura Lt BT"/>
      <family val="2"/>
    </font>
    <font>
      <sz val="10"/>
      <name val="Arial"/>
      <family val="2"/>
    </font>
    <font>
      <sz val="12"/>
      <color rgb="FF005CA9"/>
      <name val="Futura Lt BT"/>
      <family val="2"/>
    </font>
    <font>
      <b/>
      <sz val="12"/>
      <color rgb="FF005CA9"/>
      <name val="Futura Lt BT"/>
      <family val="2"/>
    </font>
    <font>
      <b/>
      <sz val="14"/>
      <color rgb="FF005CA9"/>
      <name val="Futura Lt BT"/>
      <family val="2"/>
    </font>
    <font>
      <sz val="12"/>
      <color theme="1"/>
      <name val="Futura Lt BT"/>
      <family val="2"/>
    </font>
    <font>
      <sz val="12"/>
      <name val="Futura Lt BT"/>
      <family val="2"/>
    </font>
    <font>
      <b/>
      <sz val="12"/>
      <color theme="4" tint="-0.499984740745262"/>
      <name val="Futura Lt BT"/>
      <family val="2"/>
    </font>
    <font>
      <b/>
      <shadow/>
      <sz val="12"/>
      <name val="Futura Lt BT"/>
      <family val="2"/>
    </font>
    <font>
      <b/>
      <sz val="12"/>
      <color rgb="FFFF0000"/>
      <name val="Futura Lt BT"/>
      <family val="2"/>
    </font>
    <font>
      <sz val="12"/>
      <color rgb="FF1F4E78"/>
      <name val="Futura Lt BT"/>
      <family val="2"/>
    </font>
  </fonts>
  <fills count="6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4BB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rgb="FFF39200"/>
      </top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/>
      <diagonal/>
    </border>
    <border>
      <left/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/>
      <top/>
      <bottom style="thin">
        <color rgb="FFF39200"/>
      </bottom>
      <diagonal/>
    </border>
    <border>
      <left/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theme="0"/>
      </right>
      <top style="thin">
        <color rgb="FFF39200"/>
      </top>
      <bottom style="thin">
        <color rgb="FFF39200"/>
      </bottom>
      <diagonal/>
    </border>
    <border>
      <left/>
      <right/>
      <top style="thin">
        <color rgb="FFF39200"/>
      </top>
      <bottom/>
      <diagonal/>
    </border>
    <border>
      <left/>
      <right/>
      <top/>
      <bottom style="thin">
        <color rgb="FFF39200"/>
      </bottom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rgb="FFF39200"/>
      </top>
      <bottom style="thin">
        <color rgb="FFF39200"/>
      </bottom>
      <diagonal/>
    </border>
    <border>
      <left style="thin">
        <color indexed="9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indexed="9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 style="thin">
        <color rgb="FFF39200"/>
      </bottom>
      <diagonal/>
    </border>
    <border>
      <left style="thin">
        <color rgb="FFF3920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rgb="FFF39200"/>
      </right>
      <top style="thin">
        <color rgb="FFF39200"/>
      </top>
      <bottom style="thin">
        <color rgb="FFF39200"/>
      </bottom>
      <diagonal/>
    </border>
    <border>
      <left/>
      <right/>
      <top style="thin">
        <color rgb="FFF39200"/>
      </top>
      <bottom style="thin">
        <color theme="0"/>
      </bottom>
      <diagonal/>
    </border>
    <border>
      <left/>
      <right style="thin">
        <color rgb="FFF39200"/>
      </right>
      <top style="thin">
        <color rgb="FFF39200"/>
      </top>
      <bottom/>
      <diagonal/>
    </border>
    <border>
      <left/>
      <right style="thin">
        <color rgb="FFF39200"/>
      </right>
      <top/>
      <bottom style="thin">
        <color rgb="FFF39200"/>
      </bottom>
      <diagonal/>
    </border>
  </borders>
  <cellStyleXfs count="1117">
    <xf numFmtId="0" fontId="0" fillId="0" borderId="0"/>
    <xf numFmtId="0" fontId="35" fillId="0" borderId="0" applyNumberFormat="0" applyFont="0" applyBorder="0" applyAlignment="0"/>
    <xf numFmtId="43" fontId="27" fillId="0" borderId="0" applyFont="0" applyFill="0" applyBorder="0" applyAlignment="0" applyProtection="0"/>
    <xf numFmtId="0" fontId="27" fillId="0" borderId="0"/>
    <xf numFmtId="166" fontId="58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7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7" fillId="0" borderId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9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9" fillId="30" borderId="0" applyNumberFormat="0" applyBorder="0" applyAlignment="0" applyProtection="0"/>
    <xf numFmtId="0" fontId="68" fillId="25" borderId="0" applyNumberFormat="0" applyBorder="0" applyAlignment="0" applyProtection="0"/>
    <xf numFmtId="0" fontId="68" fillId="31" borderId="0" applyNumberFormat="0" applyBorder="0" applyAlignment="0" applyProtection="0"/>
    <xf numFmtId="0" fontId="69" fillId="26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9" fillId="24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9" fillId="36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0" fillId="38" borderId="39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1" fillId="39" borderId="40" applyNumberFormat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73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4" fillId="35" borderId="39" applyNumberFormat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89" fillId="0" borderId="0"/>
    <xf numFmtId="0" fontId="35" fillId="0" borderId="0"/>
    <xf numFmtId="0" fontId="90" fillId="0" borderId="0"/>
    <xf numFmtId="0" fontId="27" fillId="0" borderId="0"/>
    <xf numFmtId="0" fontId="27" fillId="0" borderId="0"/>
    <xf numFmtId="0" fontId="27" fillId="0" borderId="0"/>
    <xf numFmtId="0" fontId="90" fillId="0" borderId="0"/>
    <xf numFmtId="0" fontId="9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33" fillId="34" borderId="39" applyNumberFormat="0" applyFon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0" fontId="77" fillId="38" borderId="42" applyNumberFormat="0" applyAlignment="0" applyProtection="0"/>
    <xf numFmtId="4" fontId="33" fillId="50" borderId="39" applyNumberFormat="0" applyProtection="0">
      <alignment vertical="center"/>
    </xf>
    <xf numFmtId="4" fontId="33" fillId="50" borderId="39" applyNumberFormat="0" applyProtection="0">
      <alignment vertical="center"/>
    </xf>
    <xf numFmtId="4" fontId="33" fillId="50" borderId="39" applyNumberFormat="0" applyProtection="0">
      <alignment vertical="center"/>
    </xf>
    <xf numFmtId="4" fontId="33" fillId="50" borderId="39" applyNumberFormat="0" applyProtection="0">
      <alignment vertical="center"/>
    </xf>
    <xf numFmtId="4" fontId="33" fillId="50" borderId="39" applyNumberFormat="0" applyProtection="0">
      <alignment vertical="center"/>
    </xf>
    <xf numFmtId="4" fontId="33" fillId="50" borderId="39" applyNumberFormat="0" applyProtection="0">
      <alignment vertical="center"/>
    </xf>
    <xf numFmtId="4" fontId="78" fillId="52" borderId="39" applyNumberFormat="0" applyProtection="0">
      <alignment vertical="center"/>
    </xf>
    <xf numFmtId="4" fontId="33" fillId="52" borderId="39" applyNumberFormat="0" applyProtection="0">
      <alignment horizontal="left" vertical="center" indent="1"/>
    </xf>
    <xf numFmtId="4" fontId="33" fillId="52" borderId="39" applyNumberFormat="0" applyProtection="0">
      <alignment horizontal="left" vertical="center" indent="1"/>
    </xf>
    <xf numFmtId="4" fontId="33" fillId="52" borderId="39" applyNumberFormat="0" applyProtection="0">
      <alignment horizontal="left" vertical="center" indent="1"/>
    </xf>
    <xf numFmtId="4" fontId="33" fillId="52" borderId="39" applyNumberFormat="0" applyProtection="0">
      <alignment horizontal="left" vertical="center" indent="1"/>
    </xf>
    <xf numFmtId="4" fontId="33" fillId="52" borderId="39" applyNumberFormat="0" applyProtection="0">
      <alignment horizontal="left" vertical="center" indent="1"/>
    </xf>
    <xf numFmtId="4" fontId="33" fillId="52" borderId="39" applyNumberFormat="0" applyProtection="0">
      <alignment horizontal="left" vertical="center" indent="1"/>
    </xf>
    <xf numFmtId="0" fontId="79" fillId="50" borderId="43" applyNumberFormat="0" applyProtection="0">
      <alignment horizontal="left" vertical="top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16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53" borderId="39" applyNumberFormat="0" applyProtection="0">
      <alignment horizontal="right" vertical="center"/>
    </xf>
    <xf numFmtId="4" fontId="33" fillId="53" borderId="39" applyNumberFormat="0" applyProtection="0">
      <alignment horizontal="right" vertical="center"/>
    </xf>
    <xf numFmtId="4" fontId="33" fillId="53" borderId="39" applyNumberFormat="0" applyProtection="0">
      <alignment horizontal="right" vertical="center"/>
    </xf>
    <xf numFmtId="4" fontId="33" fillId="53" borderId="39" applyNumberFormat="0" applyProtection="0">
      <alignment horizontal="right" vertical="center"/>
    </xf>
    <xf numFmtId="4" fontId="33" fillId="53" borderId="39" applyNumberFormat="0" applyProtection="0">
      <alignment horizontal="right" vertical="center"/>
    </xf>
    <xf numFmtId="4" fontId="33" fillId="53" borderId="39" applyNumberFormat="0" applyProtection="0">
      <alignment horizontal="right" vertical="center"/>
    </xf>
    <xf numFmtId="4" fontId="33" fillId="44" borderId="44" applyNumberFormat="0" applyProtection="0">
      <alignment horizontal="right" vertical="center"/>
    </xf>
    <xf numFmtId="4" fontId="33" fillId="44" borderId="44" applyNumberFormat="0" applyProtection="0">
      <alignment horizontal="right" vertical="center"/>
    </xf>
    <xf numFmtId="4" fontId="33" fillId="44" borderId="44" applyNumberFormat="0" applyProtection="0">
      <alignment horizontal="right" vertical="center"/>
    </xf>
    <xf numFmtId="4" fontId="33" fillId="44" borderId="44" applyNumberFormat="0" applyProtection="0">
      <alignment horizontal="right" vertical="center"/>
    </xf>
    <xf numFmtId="4" fontId="33" fillId="44" borderId="44" applyNumberFormat="0" applyProtection="0">
      <alignment horizontal="right" vertical="center"/>
    </xf>
    <xf numFmtId="4" fontId="33" fillId="44" borderId="44" applyNumberFormat="0" applyProtection="0">
      <alignment horizontal="right" vertical="center"/>
    </xf>
    <xf numFmtId="4" fontId="33" fillId="19" borderId="39" applyNumberFormat="0" applyProtection="0">
      <alignment horizontal="right" vertical="center"/>
    </xf>
    <xf numFmtId="4" fontId="33" fillId="19" borderId="39" applyNumberFormat="0" applyProtection="0">
      <alignment horizontal="right" vertical="center"/>
    </xf>
    <xf numFmtId="4" fontId="33" fillId="19" borderId="39" applyNumberFormat="0" applyProtection="0">
      <alignment horizontal="right" vertical="center"/>
    </xf>
    <xf numFmtId="4" fontId="33" fillId="19" borderId="39" applyNumberFormat="0" applyProtection="0">
      <alignment horizontal="right" vertical="center"/>
    </xf>
    <xf numFmtId="4" fontId="33" fillId="19" borderId="39" applyNumberFormat="0" applyProtection="0">
      <alignment horizontal="right" vertical="center"/>
    </xf>
    <xf numFmtId="4" fontId="33" fillId="19" borderId="39" applyNumberFormat="0" applyProtection="0">
      <alignment horizontal="right" vertical="center"/>
    </xf>
    <xf numFmtId="4" fontId="33" fillId="21" borderId="39" applyNumberFormat="0" applyProtection="0">
      <alignment horizontal="right" vertical="center"/>
    </xf>
    <xf numFmtId="4" fontId="33" fillId="21" borderId="39" applyNumberFormat="0" applyProtection="0">
      <alignment horizontal="right" vertical="center"/>
    </xf>
    <xf numFmtId="4" fontId="33" fillId="21" borderId="39" applyNumberFormat="0" applyProtection="0">
      <alignment horizontal="right" vertical="center"/>
    </xf>
    <xf numFmtId="4" fontId="33" fillId="21" borderId="39" applyNumberFormat="0" applyProtection="0">
      <alignment horizontal="right" vertical="center"/>
    </xf>
    <xf numFmtId="4" fontId="33" fillId="21" borderId="39" applyNumberFormat="0" applyProtection="0">
      <alignment horizontal="right" vertical="center"/>
    </xf>
    <xf numFmtId="4" fontId="33" fillId="21" borderId="39" applyNumberFormat="0" applyProtection="0">
      <alignment horizontal="right" vertical="center"/>
    </xf>
    <xf numFmtId="4" fontId="33" fillId="48" borderId="39" applyNumberFormat="0" applyProtection="0">
      <alignment horizontal="right" vertical="center"/>
    </xf>
    <xf numFmtId="4" fontId="33" fillId="48" borderId="39" applyNumberFormat="0" applyProtection="0">
      <alignment horizontal="right" vertical="center"/>
    </xf>
    <xf numFmtId="4" fontId="33" fillId="48" borderId="39" applyNumberFormat="0" applyProtection="0">
      <alignment horizontal="right" vertical="center"/>
    </xf>
    <xf numFmtId="4" fontId="33" fillId="48" borderId="39" applyNumberFormat="0" applyProtection="0">
      <alignment horizontal="right" vertical="center"/>
    </xf>
    <xf numFmtId="4" fontId="33" fillId="48" borderId="39" applyNumberFormat="0" applyProtection="0">
      <alignment horizontal="right" vertical="center"/>
    </xf>
    <xf numFmtId="4" fontId="33" fillId="48" borderId="39" applyNumberFormat="0" applyProtection="0">
      <alignment horizontal="right" vertical="center"/>
    </xf>
    <xf numFmtId="4" fontId="33" fillId="46" borderId="39" applyNumberFormat="0" applyProtection="0">
      <alignment horizontal="right" vertical="center"/>
    </xf>
    <xf numFmtId="4" fontId="33" fillId="46" borderId="39" applyNumberFormat="0" applyProtection="0">
      <alignment horizontal="right" vertical="center"/>
    </xf>
    <xf numFmtId="4" fontId="33" fillId="46" borderId="39" applyNumberFormat="0" applyProtection="0">
      <alignment horizontal="right" vertical="center"/>
    </xf>
    <xf numFmtId="4" fontId="33" fillId="46" borderId="39" applyNumberFormat="0" applyProtection="0">
      <alignment horizontal="right" vertical="center"/>
    </xf>
    <xf numFmtId="4" fontId="33" fillId="46" borderId="39" applyNumberFormat="0" applyProtection="0">
      <alignment horizontal="right" vertical="center"/>
    </xf>
    <xf numFmtId="4" fontId="33" fillId="46" borderId="39" applyNumberFormat="0" applyProtection="0">
      <alignment horizontal="right" vertical="center"/>
    </xf>
    <xf numFmtId="4" fontId="33" fillId="54" borderId="39" applyNumberFormat="0" applyProtection="0">
      <alignment horizontal="right" vertical="center"/>
    </xf>
    <xf numFmtId="4" fontId="33" fillId="54" borderId="39" applyNumberFormat="0" applyProtection="0">
      <alignment horizontal="right" vertical="center"/>
    </xf>
    <xf numFmtId="4" fontId="33" fillId="54" borderId="39" applyNumberFormat="0" applyProtection="0">
      <alignment horizontal="right" vertical="center"/>
    </xf>
    <xf numFmtId="4" fontId="33" fillId="54" borderId="39" applyNumberFormat="0" applyProtection="0">
      <alignment horizontal="right" vertical="center"/>
    </xf>
    <xf numFmtId="4" fontId="33" fillId="54" borderId="39" applyNumberFormat="0" applyProtection="0">
      <alignment horizontal="right" vertical="center"/>
    </xf>
    <xf numFmtId="4" fontId="33" fillId="54" borderId="39" applyNumberFormat="0" applyProtection="0">
      <alignment horizontal="right" vertical="center"/>
    </xf>
    <xf numFmtId="4" fontId="33" fillId="18" borderId="39" applyNumberFormat="0" applyProtection="0">
      <alignment horizontal="right" vertical="center"/>
    </xf>
    <xf numFmtId="4" fontId="33" fillId="18" borderId="39" applyNumberFormat="0" applyProtection="0">
      <alignment horizontal="right" vertical="center"/>
    </xf>
    <xf numFmtId="4" fontId="33" fillId="18" borderId="39" applyNumberFormat="0" applyProtection="0">
      <alignment horizontal="right" vertical="center"/>
    </xf>
    <xf numFmtId="4" fontId="33" fillId="18" borderId="39" applyNumberFormat="0" applyProtection="0">
      <alignment horizontal="right" vertical="center"/>
    </xf>
    <xf numFmtId="4" fontId="33" fillId="18" borderId="39" applyNumberFormat="0" applyProtection="0">
      <alignment horizontal="right" vertical="center"/>
    </xf>
    <xf numFmtId="4" fontId="33" fillId="18" borderId="39" applyNumberFormat="0" applyProtection="0">
      <alignment horizontal="right" vertical="center"/>
    </xf>
    <xf numFmtId="4" fontId="33" fillId="55" borderId="44" applyNumberFormat="0" applyProtection="0">
      <alignment horizontal="left" vertical="center" indent="1"/>
    </xf>
    <xf numFmtId="4" fontId="33" fillId="55" borderId="44" applyNumberFormat="0" applyProtection="0">
      <alignment horizontal="left" vertical="center" indent="1"/>
    </xf>
    <xf numFmtId="4" fontId="33" fillId="55" borderId="44" applyNumberFormat="0" applyProtection="0">
      <alignment horizontal="left" vertical="center" indent="1"/>
    </xf>
    <xf numFmtId="4" fontId="33" fillId="55" borderId="44" applyNumberFormat="0" applyProtection="0">
      <alignment horizontal="left" vertical="center" indent="1"/>
    </xf>
    <xf numFmtId="4" fontId="33" fillId="55" borderId="44" applyNumberFormat="0" applyProtection="0">
      <alignment horizontal="left" vertical="center" indent="1"/>
    </xf>
    <xf numFmtId="4" fontId="33" fillId="55" borderId="44" applyNumberFormat="0" applyProtection="0">
      <alignment horizontal="left" vertical="center" indent="1"/>
    </xf>
    <xf numFmtId="4" fontId="27" fillId="56" borderId="44" applyNumberFormat="0" applyProtection="0">
      <alignment horizontal="left" vertical="center" indent="1"/>
    </xf>
    <xf numFmtId="4" fontId="27" fillId="56" borderId="44" applyNumberFormat="0" applyProtection="0">
      <alignment horizontal="left" vertical="center" indent="1"/>
    </xf>
    <xf numFmtId="4" fontId="33" fillId="57" borderId="39" applyNumberFormat="0" applyProtection="0">
      <alignment horizontal="right" vertical="center"/>
    </xf>
    <xf numFmtId="4" fontId="33" fillId="57" borderId="39" applyNumberFormat="0" applyProtection="0">
      <alignment horizontal="right" vertical="center"/>
    </xf>
    <xf numFmtId="4" fontId="33" fillId="57" borderId="39" applyNumberFormat="0" applyProtection="0">
      <alignment horizontal="right" vertical="center"/>
    </xf>
    <xf numFmtId="4" fontId="33" fillId="57" borderId="39" applyNumberFormat="0" applyProtection="0">
      <alignment horizontal="right" vertical="center"/>
    </xf>
    <xf numFmtId="4" fontId="33" fillId="57" borderId="39" applyNumberFormat="0" applyProtection="0">
      <alignment horizontal="right" vertical="center"/>
    </xf>
    <xf numFmtId="4" fontId="33" fillId="57" borderId="39" applyNumberFormat="0" applyProtection="0">
      <alignment horizontal="right" vertical="center"/>
    </xf>
    <xf numFmtId="4" fontId="33" fillId="58" borderId="44" applyNumberFormat="0" applyProtection="0">
      <alignment horizontal="left" vertical="center" indent="1"/>
    </xf>
    <xf numFmtId="4" fontId="33" fillId="58" borderId="44" applyNumberFormat="0" applyProtection="0">
      <alignment horizontal="left" vertical="center" indent="1"/>
    </xf>
    <xf numFmtId="4" fontId="33" fillId="58" borderId="44" applyNumberFormat="0" applyProtection="0">
      <alignment horizontal="left" vertical="center" indent="1"/>
    </xf>
    <xf numFmtId="4" fontId="33" fillId="58" borderId="44" applyNumberFormat="0" applyProtection="0">
      <alignment horizontal="left" vertical="center" indent="1"/>
    </xf>
    <xf numFmtId="4" fontId="33" fillId="58" borderId="44" applyNumberFormat="0" applyProtection="0">
      <alignment horizontal="left" vertical="center" indent="1"/>
    </xf>
    <xf numFmtId="4" fontId="33" fillId="58" borderId="44" applyNumberFormat="0" applyProtection="0">
      <alignment horizontal="left" vertical="center" indent="1"/>
    </xf>
    <xf numFmtId="4" fontId="33" fillId="57" borderId="44" applyNumberFormat="0" applyProtection="0">
      <alignment horizontal="left" vertical="center" indent="1"/>
    </xf>
    <xf numFmtId="4" fontId="33" fillId="57" borderId="44" applyNumberFormat="0" applyProtection="0">
      <alignment horizontal="left" vertical="center" indent="1"/>
    </xf>
    <xf numFmtId="4" fontId="33" fillId="57" borderId="44" applyNumberFormat="0" applyProtection="0">
      <alignment horizontal="left" vertical="center" indent="1"/>
    </xf>
    <xf numFmtId="4" fontId="33" fillId="57" borderId="44" applyNumberFormat="0" applyProtection="0">
      <alignment horizontal="left" vertical="center" indent="1"/>
    </xf>
    <xf numFmtId="4" fontId="33" fillId="57" borderId="44" applyNumberFormat="0" applyProtection="0">
      <alignment horizontal="left" vertical="center" indent="1"/>
    </xf>
    <xf numFmtId="4" fontId="33" fillId="57" borderId="44" applyNumberFormat="0" applyProtection="0">
      <alignment horizontal="left" vertical="center" indent="1"/>
    </xf>
    <xf numFmtId="0" fontId="33" fillId="37" borderId="39" applyNumberFormat="0" applyProtection="0">
      <alignment horizontal="left" vertical="center" indent="1"/>
    </xf>
    <xf numFmtId="0" fontId="33" fillId="37" borderId="39" applyNumberFormat="0" applyProtection="0">
      <alignment horizontal="left" vertical="center" indent="1"/>
    </xf>
    <xf numFmtId="0" fontId="33" fillId="37" borderId="39" applyNumberFormat="0" applyProtection="0">
      <alignment horizontal="left" vertical="center" indent="1"/>
    </xf>
    <xf numFmtId="0" fontId="33" fillId="37" borderId="39" applyNumberFormat="0" applyProtection="0">
      <alignment horizontal="left" vertical="center" indent="1"/>
    </xf>
    <xf numFmtId="0" fontId="33" fillId="37" borderId="39" applyNumberFormat="0" applyProtection="0">
      <alignment horizontal="left" vertical="center" indent="1"/>
    </xf>
    <xf numFmtId="0" fontId="33" fillId="37" borderId="39" applyNumberFormat="0" applyProtection="0">
      <alignment horizontal="left" vertical="center" indent="1"/>
    </xf>
    <xf numFmtId="0" fontId="33" fillId="56" borderId="43" applyNumberFormat="0" applyProtection="0">
      <alignment horizontal="left" vertical="top" indent="1"/>
    </xf>
    <xf numFmtId="0" fontId="33" fillId="56" borderId="43" applyNumberFormat="0" applyProtection="0">
      <alignment horizontal="left" vertical="top" indent="1"/>
    </xf>
    <xf numFmtId="0" fontId="33" fillId="56" borderId="43" applyNumberFormat="0" applyProtection="0">
      <alignment horizontal="left" vertical="top" indent="1"/>
    </xf>
    <xf numFmtId="0" fontId="33" fillId="56" borderId="43" applyNumberFormat="0" applyProtection="0">
      <alignment horizontal="left" vertical="top" indent="1"/>
    </xf>
    <xf numFmtId="0" fontId="33" fillId="56" borderId="43" applyNumberFormat="0" applyProtection="0">
      <alignment horizontal="left" vertical="top" indent="1"/>
    </xf>
    <xf numFmtId="0" fontId="33" fillId="56" borderId="43" applyNumberFormat="0" applyProtection="0">
      <alignment horizontal="left" vertical="top" indent="1"/>
    </xf>
    <xf numFmtId="0" fontId="33" fillId="59" borderId="39" applyNumberFormat="0" applyProtection="0">
      <alignment horizontal="left" vertical="center" indent="1"/>
    </xf>
    <xf numFmtId="0" fontId="33" fillId="59" borderId="39" applyNumberFormat="0" applyProtection="0">
      <alignment horizontal="left" vertical="center" indent="1"/>
    </xf>
    <xf numFmtId="0" fontId="33" fillId="59" borderId="39" applyNumberFormat="0" applyProtection="0">
      <alignment horizontal="left" vertical="center" indent="1"/>
    </xf>
    <xf numFmtId="0" fontId="33" fillId="59" borderId="39" applyNumberFormat="0" applyProtection="0">
      <alignment horizontal="left" vertical="center" indent="1"/>
    </xf>
    <xf numFmtId="0" fontId="33" fillId="59" borderId="39" applyNumberFormat="0" applyProtection="0">
      <alignment horizontal="left" vertical="center" indent="1"/>
    </xf>
    <xf numFmtId="0" fontId="33" fillId="59" borderId="39" applyNumberFormat="0" applyProtection="0">
      <alignment horizontal="left" vertical="center" indent="1"/>
    </xf>
    <xf numFmtId="0" fontId="33" fillId="57" borderId="43" applyNumberFormat="0" applyProtection="0">
      <alignment horizontal="left" vertical="top" indent="1"/>
    </xf>
    <xf numFmtId="0" fontId="33" fillId="57" borderId="43" applyNumberFormat="0" applyProtection="0">
      <alignment horizontal="left" vertical="top" indent="1"/>
    </xf>
    <xf numFmtId="0" fontId="33" fillId="57" borderId="43" applyNumberFormat="0" applyProtection="0">
      <alignment horizontal="left" vertical="top" indent="1"/>
    </xf>
    <xf numFmtId="0" fontId="33" fillId="57" borderId="43" applyNumberFormat="0" applyProtection="0">
      <alignment horizontal="left" vertical="top" indent="1"/>
    </xf>
    <xf numFmtId="0" fontId="33" fillId="57" borderId="43" applyNumberFormat="0" applyProtection="0">
      <alignment horizontal="left" vertical="top" indent="1"/>
    </xf>
    <xf numFmtId="0" fontId="33" fillId="57" borderId="43" applyNumberFormat="0" applyProtection="0">
      <alignment horizontal="left" vertical="top" indent="1"/>
    </xf>
    <xf numFmtId="0" fontId="33" fillId="17" borderId="39" applyNumberFormat="0" applyProtection="0">
      <alignment horizontal="left" vertical="center" indent="1"/>
    </xf>
    <xf numFmtId="0" fontId="33" fillId="17" borderId="39" applyNumberFormat="0" applyProtection="0">
      <alignment horizontal="left" vertical="center" indent="1"/>
    </xf>
    <xf numFmtId="0" fontId="33" fillId="17" borderId="39" applyNumberFormat="0" applyProtection="0">
      <alignment horizontal="left" vertical="center" indent="1"/>
    </xf>
    <xf numFmtId="0" fontId="33" fillId="17" borderId="39" applyNumberFormat="0" applyProtection="0">
      <alignment horizontal="left" vertical="center" indent="1"/>
    </xf>
    <xf numFmtId="0" fontId="33" fillId="17" borderId="39" applyNumberFormat="0" applyProtection="0">
      <alignment horizontal="left" vertical="center" indent="1"/>
    </xf>
    <xf numFmtId="0" fontId="33" fillId="17" borderId="39" applyNumberFormat="0" applyProtection="0">
      <alignment horizontal="left" vertical="center" indent="1"/>
    </xf>
    <xf numFmtId="0" fontId="33" fillId="17" borderId="43" applyNumberFormat="0" applyProtection="0">
      <alignment horizontal="left" vertical="top" indent="1"/>
    </xf>
    <xf numFmtId="0" fontId="33" fillId="17" borderId="43" applyNumberFormat="0" applyProtection="0">
      <alignment horizontal="left" vertical="top" indent="1"/>
    </xf>
    <xf numFmtId="0" fontId="33" fillId="17" borderId="43" applyNumberFormat="0" applyProtection="0">
      <alignment horizontal="left" vertical="top" indent="1"/>
    </xf>
    <xf numFmtId="0" fontId="33" fillId="17" borderId="43" applyNumberFormat="0" applyProtection="0">
      <alignment horizontal="left" vertical="top" indent="1"/>
    </xf>
    <xf numFmtId="0" fontId="33" fillId="17" borderId="43" applyNumberFormat="0" applyProtection="0">
      <alignment horizontal="left" vertical="top" indent="1"/>
    </xf>
    <xf numFmtId="0" fontId="33" fillId="17" borderId="43" applyNumberFormat="0" applyProtection="0">
      <alignment horizontal="left" vertical="top" indent="1"/>
    </xf>
    <xf numFmtId="0" fontId="33" fillId="58" borderId="39" applyNumberFormat="0" applyProtection="0">
      <alignment horizontal="left" vertical="center" indent="1"/>
    </xf>
    <xf numFmtId="0" fontId="33" fillId="58" borderId="39" applyNumberFormat="0" applyProtection="0">
      <alignment horizontal="left" vertical="center" indent="1"/>
    </xf>
    <xf numFmtId="0" fontId="33" fillId="58" borderId="39" applyNumberFormat="0" applyProtection="0">
      <alignment horizontal="left" vertical="center" indent="1"/>
    </xf>
    <xf numFmtId="0" fontId="33" fillId="58" borderId="39" applyNumberFormat="0" applyProtection="0">
      <alignment horizontal="left" vertical="center" indent="1"/>
    </xf>
    <xf numFmtId="0" fontId="33" fillId="58" borderId="39" applyNumberFormat="0" applyProtection="0">
      <alignment horizontal="left" vertical="center" indent="1"/>
    </xf>
    <xf numFmtId="0" fontId="33" fillId="58" borderId="39" applyNumberFormat="0" applyProtection="0">
      <alignment horizontal="left" vertical="center" indent="1"/>
    </xf>
    <xf numFmtId="0" fontId="33" fillId="58" borderId="43" applyNumberFormat="0" applyProtection="0">
      <alignment horizontal="left" vertical="top" indent="1"/>
    </xf>
    <xf numFmtId="0" fontId="33" fillId="58" borderId="43" applyNumberFormat="0" applyProtection="0">
      <alignment horizontal="left" vertical="top" indent="1"/>
    </xf>
    <xf numFmtId="0" fontId="33" fillId="58" borderId="43" applyNumberFormat="0" applyProtection="0">
      <alignment horizontal="left" vertical="top" indent="1"/>
    </xf>
    <xf numFmtId="0" fontId="33" fillId="58" borderId="43" applyNumberFormat="0" applyProtection="0">
      <alignment horizontal="left" vertical="top" indent="1"/>
    </xf>
    <xf numFmtId="0" fontId="33" fillId="58" borderId="43" applyNumberFormat="0" applyProtection="0">
      <alignment horizontal="left" vertical="top" indent="1"/>
    </xf>
    <xf numFmtId="0" fontId="33" fillId="58" borderId="43" applyNumberFormat="0" applyProtection="0">
      <alignment horizontal="left" vertical="top" indent="1"/>
    </xf>
    <xf numFmtId="0" fontId="33" fillId="60" borderId="45" applyNumberFormat="0">
      <protection locked="0"/>
    </xf>
    <xf numFmtId="0" fontId="33" fillId="60" borderId="45" applyNumberFormat="0">
      <protection locked="0"/>
    </xf>
    <xf numFmtId="0" fontId="33" fillId="60" borderId="45" applyNumberFormat="0">
      <protection locked="0"/>
    </xf>
    <xf numFmtId="0" fontId="33" fillId="60" borderId="45" applyNumberFormat="0">
      <protection locked="0"/>
    </xf>
    <xf numFmtId="0" fontId="33" fillId="60" borderId="45" applyNumberFormat="0">
      <protection locked="0"/>
    </xf>
    <xf numFmtId="0" fontId="33" fillId="60" borderId="45" applyNumberFormat="0">
      <protection locked="0"/>
    </xf>
    <xf numFmtId="0" fontId="80" fillId="56" borderId="46" applyBorder="0"/>
    <xf numFmtId="4" fontId="81" fillId="51" borderId="43" applyNumberFormat="0" applyProtection="0">
      <alignment vertical="center"/>
    </xf>
    <xf numFmtId="4" fontId="78" fillId="61" borderId="11" applyNumberFormat="0" applyProtection="0">
      <alignment vertical="center"/>
    </xf>
    <xf numFmtId="4" fontId="81" fillId="37" borderId="43" applyNumberFormat="0" applyProtection="0">
      <alignment horizontal="left" vertical="center" indent="1"/>
    </xf>
    <xf numFmtId="0" fontId="81" fillId="51" borderId="43" applyNumberFormat="0" applyProtection="0">
      <alignment horizontal="left" vertical="top" indent="1"/>
    </xf>
    <xf numFmtId="4" fontId="33" fillId="0" borderId="39" applyNumberFormat="0" applyProtection="0">
      <alignment horizontal="right" vertical="center"/>
    </xf>
    <xf numFmtId="4" fontId="33" fillId="0" borderId="39" applyNumberFormat="0" applyProtection="0">
      <alignment horizontal="right" vertical="center"/>
    </xf>
    <xf numFmtId="4" fontId="33" fillId="0" borderId="39" applyNumberFormat="0" applyProtection="0">
      <alignment horizontal="right" vertical="center"/>
    </xf>
    <xf numFmtId="4" fontId="33" fillId="0" borderId="39" applyNumberFormat="0" applyProtection="0">
      <alignment horizontal="right" vertical="center"/>
    </xf>
    <xf numFmtId="4" fontId="33" fillId="0" borderId="39" applyNumberFormat="0" applyProtection="0">
      <alignment horizontal="right" vertical="center"/>
    </xf>
    <xf numFmtId="4" fontId="33" fillId="0" borderId="39" applyNumberFormat="0" applyProtection="0">
      <alignment horizontal="right" vertical="center"/>
    </xf>
    <xf numFmtId="4" fontId="78" fillId="62" borderId="39" applyNumberFormat="0" applyProtection="0">
      <alignment horizontal="right" vertical="center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4" fontId="33" fillId="20" borderId="39" applyNumberFormat="0" applyProtection="0">
      <alignment horizontal="left" vertical="center" indent="1"/>
    </xf>
    <xf numFmtId="0" fontId="81" fillId="57" borderId="43" applyNumberFormat="0" applyProtection="0">
      <alignment horizontal="left" vertical="top" indent="1"/>
    </xf>
    <xf numFmtId="4" fontId="82" fillId="63" borderId="44" applyNumberFormat="0" applyProtection="0">
      <alignment horizontal="left" vertical="center" indent="1"/>
    </xf>
    <xf numFmtId="0" fontId="33" fillId="64" borderId="11"/>
    <xf numFmtId="0" fontId="33" fillId="64" borderId="11"/>
    <xf numFmtId="0" fontId="33" fillId="64" borderId="11"/>
    <xf numFmtId="0" fontId="33" fillId="64" borderId="11"/>
    <xf numFmtId="0" fontId="33" fillId="64" borderId="11"/>
    <xf numFmtId="0" fontId="33" fillId="64" borderId="11"/>
    <xf numFmtId="4" fontId="83" fillId="60" borderId="39" applyNumberFormat="0" applyProtection="0">
      <alignment horizontal="right" vertical="center"/>
    </xf>
    <xf numFmtId="166" fontId="3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73" fillId="0" borderId="50" applyNumberFormat="0" applyFill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6" fontId="14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0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6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1" fillId="0" borderId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89" fillId="0" borderId="0" applyFont="0" applyFill="0" applyBorder="0" applyAlignment="0" applyProtection="0"/>
    <xf numFmtId="176" fontId="8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5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7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89" fillId="0" borderId="0" applyFont="0" applyFill="0" applyBorder="0" applyAlignment="0" applyProtection="0"/>
    <xf numFmtId="176" fontId="8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6" fontId="6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3">
    <xf numFmtId="0" fontId="0" fillId="0" borderId="0" xfId="0"/>
    <xf numFmtId="0" fontId="30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0" fillId="0" borderId="0" xfId="0" applyNumberFormat="1"/>
    <xf numFmtId="0" fontId="36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right" wrapText="1"/>
    </xf>
    <xf numFmtId="164" fontId="36" fillId="0" borderId="0" xfId="0" applyNumberFormat="1" applyFont="1" applyFill="1" applyBorder="1" applyAlignment="1">
      <alignment horizontal="center" vertical="center" wrapText="1"/>
    </xf>
    <xf numFmtId="164" fontId="36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38" fillId="3" borderId="0" xfId="0" applyFont="1" applyFill="1" applyBorder="1" applyAlignment="1">
      <alignment wrapText="1"/>
    </xf>
    <xf numFmtId="0" fontId="37" fillId="2" borderId="7" xfId="0" applyFont="1" applyFill="1" applyBorder="1" applyAlignment="1">
      <alignment horizontal="center" wrapText="1"/>
    </xf>
    <xf numFmtId="0" fontId="37" fillId="2" borderId="8" xfId="0" applyFont="1" applyFill="1" applyBorder="1" applyAlignment="1">
      <alignment wrapText="1"/>
    </xf>
    <xf numFmtId="164" fontId="38" fillId="3" borderId="4" xfId="0" applyNumberFormat="1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64" fontId="37" fillId="2" borderId="1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21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11" xfId="0" applyFont="1" applyBorder="1"/>
    <xf numFmtId="0" fontId="30" fillId="0" borderId="11" xfId="0" applyFont="1" applyBorder="1" applyAlignment="1">
      <alignment horizontal="left" vertical="center"/>
    </xf>
    <xf numFmtId="0" fontId="40" fillId="4" borderId="11" xfId="0" applyFont="1" applyFill="1" applyBorder="1"/>
    <xf numFmtId="0" fontId="40" fillId="4" borderId="11" xfId="0" applyFont="1" applyFill="1" applyBorder="1" applyAlignment="1">
      <alignment horizontal="center"/>
    </xf>
    <xf numFmtId="43" fontId="40" fillId="4" borderId="11" xfId="2" applyFont="1" applyFill="1" applyBorder="1" applyAlignment="1">
      <alignment horizontal="center"/>
    </xf>
    <xf numFmtId="43" fontId="30" fillId="0" borderId="0" xfId="2" applyFont="1" applyAlignment="1">
      <alignment horizontal="right"/>
    </xf>
    <xf numFmtId="164" fontId="39" fillId="8" borderId="4" xfId="0" applyNumberFormat="1" applyFont="1" applyFill="1" applyBorder="1" applyAlignment="1">
      <alignment horizontal="right"/>
    </xf>
    <xf numFmtId="0" fontId="34" fillId="0" borderId="0" xfId="0" applyFont="1" applyAlignment="1">
      <alignment vertical="center"/>
    </xf>
    <xf numFmtId="0" fontId="41" fillId="0" borderId="0" xfId="0" applyFont="1"/>
    <xf numFmtId="0" fontId="43" fillId="0" borderId="0" xfId="0" applyFont="1"/>
    <xf numFmtId="0" fontId="43" fillId="5" borderId="0" xfId="0" applyFont="1" applyFill="1" applyBorder="1" applyAlignment="1">
      <alignment wrapText="1"/>
    </xf>
    <xf numFmtId="164" fontId="42" fillId="7" borderId="6" xfId="0" applyNumberFormat="1" applyFont="1" applyFill="1" applyBorder="1" applyAlignment="1">
      <alignment horizontal="right" wrapText="1"/>
    </xf>
    <xf numFmtId="164" fontId="43" fillId="5" borderId="4" xfId="0" applyNumberFormat="1" applyFont="1" applyFill="1" applyBorder="1" applyAlignment="1">
      <alignment horizontal="right" wrapText="1"/>
    </xf>
    <xf numFmtId="0" fontId="42" fillId="7" borderId="10" xfId="0" applyFont="1" applyFill="1" applyBorder="1" applyAlignment="1">
      <alignment horizontal="center"/>
    </xf>
    <xf numFmtId="0" fontId="42" fillId="7" borderId="10" xfId="0" applyFont="1" applyFill="1" applyBorder="1" applyAlignment="1">
      <alignment horizontal="center" wrapText="1"/>
    </xf>
    <xf numFmtId="3" fontId="43" fillId="5" borderId="4" xfId="0" applyNumberFormat="1" applyFont="1" applyFill="1" applyBorder="1" applyAlignment="1">
      <alignment horizont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21" fontId="44" fillId="0" borderId="0" xfId="0" applyNumberFormat="1" applyFont="1" applyAlignment="1">
      <alignment vertical="center"/>
    </xf>
    <xf numFmtId="4" fontId="44" fillId="0" borderId="0" xfId="0" applyNumberFormat="1" applyFont="1"/>
    <xf numFmtId="21" fontId="34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46" fillId="6" borderId="6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 wrapText="1"/>
    </xf>
    <xf numFmtId="0" fontId="46" fillId="6" borderId="0" xfId="0" applyFont="1" applyFill="1" applyBorder="1" applyAlignment="1">
      <alignment horizontal="center" wrapText="1"/>
    </xf>
    <xf numFmtId="0" fontId="46" fillId="6" borderId="0" xfId="0" applyFont="1" applyFill="1" applyBorder="1" applyAlignment="1">
      <alignment horizontal="center" wrapText="1"/>
    </xf>
    <xf numFmtId="0" fontId="27" fillId="0" borderId="11" xfId="0" applyFont="1" applyBorder="1" applyAlignment="1">
      <alignment horizontal="left" vertical="center"/>
    </xf>
    <xf numFmtId="1" fontId="47" fillId="8" borderId="0" xfId="0" applyNumberFormat="1" applyFont="1" applyFill="1" applyAlignment="1">
      <alignment horizontal="left" vertical="center"/>
    </xf>
    <xf numFmtId="0" fontId="27" fillId="8" borderId="0" xfId="0" applyFont="1" applyFill="1" applyAlignment="1">
      <alignment horizontal="center"/>
    </xf>
    <xf numFmtId="0" fontId="48" fillId="8" borderId="0" xfId="0" applyFont="1" applyFill="1"/>
    <xf numFmtId="1" fontId="49" fillId="8" borderId="0" xfId="0" applyNumberFormat="1" applyFont="1" applyFill="1" applyAlignment="1">
      <alignment vertical="center"/>
    </xf>
    <xf numFmtId="0" fontId="27" fillId="8" borderId="0" xfId="0" applyFont="1" applyFill="1"/>
    <xf numFmtId="4" fontId="48" fillId="8" borderId="0" xfId="0" applyNumberFormat="1" applyFont="1" applyFill="1" applyBorder="1"/>
    <xf numFmtId="4" fontId="27" fillId="8" borderId="0" xfId="0" applyNumberFormat="1" applyFont="1" applyFill="1"/>
    <xf numFmtId="1" fontId="47" fillId="8" borderId="0" xfId="0" applyNumberFormat="1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center"/>
    </xf>
    <xf numFmtId="0" fontId="48" fillId="8" borderId="0" xfId="0" applyFont="1" applyFill="1" applyBorder="1"/>
    <xf numFmtId="1" fontId="47" fillId="8" borderId="1" xfId="0" applyNumberFormat="1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/>
    </xf>
    <xf numFmtId="0" fontId="48" fillId="8" borderId="1" xfId="0" applyFont="1" applyFill="1" applyBorder="1"/>
    <xf numFmtId="43" fontId="27" fillId="0" borderId="0" xfId="2" quotePrefix="1" applyFont="1" applyAlignment="1">
      <alignment horizontal="right"/>
    </xf>
    <xf numFmtId="43" fontId="30" fillId="0" borderId="11" xfId="2" applyFont="1" applyBorder="1" applyAlignment="1"/>
    <xf numFmtId="43" fontId="30" fillId="0" borderId="0" xfId="2" applyFont="1" applyAlignment="1"/>
    <xf numFmtId="43" fontId="50" fillId="0" borderId="0" xfId="2" applyFont="1"/>
    <xf numFmtId="0" fontId="33" fillId="0" borderId="0" xfId="0" applyFont="1"/>
    <xf numFmtId="0" fontId="27" fillId="0" borderId="11" xfId="0" applyFont="1" applyBorder="1"/>
    <xf numFmtId="0" fontId="27" fillId="0" borderId="0" xfId="0" applyFont="1"/>
    <xf numFmtId="0" fontId="27" fillId="8" borderId="11" xfId="0" applyFont="1" applyFill="1" applyBorder="1" applyAlignment="1">
      <alignment horizontal="left" vertical="center"/>
    </xf>
    <xf numFmtId="0" fontId="30" fillId="8" borderId="11" xfId="0" applyFont="1" applyFill="1" applyBorder="1"/>
    <xf numFmtId="43" fontId="30" fillId="8" borderId="11" xfId="2" applyFont="1" applyFill="1" applyBorder="1" applyAlignment="1">
      <alignment horizontal="left"/>
    </xf>
    <xf numFmtId="43" fontId="30" fillId="8" borderId="11" xfId="2" applyFont="1" applyFill="1" applyBorder="1" applyAlignment="1">
      <alignment horizontal="right"/>
    </xf>
    <xf numFmtId="0" fontId="30" fillId="8" borderId="11" xfId="2" applyNumberFormat="1" applyFont="1" applyFill="1" applyBorder="1" applyAlignment="1">
      <alignment horizontal="right"/>
    </xf>
    <xf numFmtId="0" fontId="54" fillId="8" borderId="0" xfId="0" applyFont="1" applyFill="1" applyAlignment="1"/>
    <xf numFmtId="43" fontId="47" fillId="8" borderId="0" xfId="2" applyFont="1" applyFill="1" applyAlignment="1">
      <alignment horizontal="left" vertical="center"/>
    </xf>
    <xf numFmtId="0" fontId="30" fillId="8" borderId="11" xfId="0" applyFont="1" applyFill="1" applyBorder="1" applyAlignment="1">
      <alignment horizontal="left" vertical="center"/>
    </xf>
    <xf numFmtId="0" fontId="52" fillId="11" borderId="11" xfId="0" applyFont="1" applyFill="1" applyBorder="1"/>
    <xf numFmtId="43" fontId="52" fillId="11" borderId="11" xfId="2" applyFont="1" applyFill="1" applyBorder="1"/>
    <xf numFmtId="0" fontId="54" fillId="8" borderId="11" xfId="0" applyFont="1" applyFill="1" applyBorder="1" applyAlignment="1"/>
    <xf numFmtId="43" fontId="54" fillId="0" borderId="11" xfId="2" applyFont="1" applyBorder="1"/>
    <xf numFmtId="0" fontId="0" fillId="0" borderId="11" xfId="0" applyBorder="1"/>
    <xf numFmtId="0" fontId="53" fillId="11" borderId="1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44" fillId="8" borderId="0" xfId="0" applyFont="1" applyFill="1" applyAlignment="1">
      <alignment vertical="center"/>
    </xf>
    <xf numFmtId="0" fontId="0" fillId="8" borderId="0" xfId="0" applyFill="1"/>
    <xf numFmtId="4" fontId="0" fillId="8" borderId="0" xfId="0" applyNumberFormat="1" applyFill="1"/>
    <xf numFmtId="43" fontId="0" fillId="8" borderId="0" xfId="2" applyFont="1" applyFill="1"/>
    <xf numFmtId="0" fontId="55" fillId="8" borderId="0" xfId="0" applyFont="1" applyFill="1"/>
    <xf numFmtId="21" fontId="44" fillId="8" borderId="0" xfId="0" applyNumberFormat="1" applyFont="1" applyFill="1" applyAlignment="1">
      <alignment vertical="center"/>
    </xf>
    <xf numFmtId="0" fontId="28" fillId="8" borderId="0" xfId="0" applyFont="1" applyFill="1" applyAlignment="1">
      <alignment horizontal="center"/>
    </xf>
    <xf numFmtId="43" fontId="55" fillId="8" borderId="0" xfId="0" applyNumberFormat="1" applyFont="1" applyFill="1"/>
    <xf numFmtId="43" fontId="0" fillId="8" borderId="0" xfId="0" applyNumberFormat="1" applyFill="1"/>
    <xf numFmtId="4" fontId="44" fillId="8" borderId="0" xfId="0" applyNumberFormat="1" applyFont="1" applyFill="1"/>
    <xf numFmtId="43" fontId="28" fillId="8" borderId="0" xfId="2" quotePrefix="1" applyFont="1" applyFill="1" applyAlignment="1">
      <alignment horizontal="center"/>
    </xf>
    <xf numFmtId="0" fontId="0" fillId="8" borderId="11" xfId="0" applyFill="1" applyBorder="1"/>
    <xf numFmtId="43" fontId="0" fillId="8" borderId="11" xfId="2" applyFont="1" applyFill="1" applyBorder="1"/>
    <xf numFmtId="9" fontId="0" fillId="8" borderId="11" xfId="0" applyNumberFormat="1" applyFill="1" applyBorder="1"/>
    <xf numFmtId="0" fontId="28" fillId="9" borderId="11" xfId="0" applyFont="1" applyFill="1" applyBorder="1" applyAlignment="1">
      <alignment horizontal="center"/>
    </xf>
    <xf numFmtId="9" fontId="0" fillId="9" borderId="11" xfId="0" applyNumberFormat="1" applyFill="1" applyBorder="1"/>
    <xf numFmtId="43" fontId="0" fillId="9" borderId="11" xfId="2" applyFont="1" applyFill="1" applyBorder="1"/>
    <xf numFmtId="0" fontId="41" fillId="8" borderId="0" xfId="0" applyFont="1" applyFill="1"/>
    <xf numFmtId="43" fontId="0" fillId="12" borderId="0" xfId="2" applyFont="1" applyFill="1"/>
    <xf numFmtId="164" fontId="0" fillId="8" borderId="0" xfId="0" applyNumberFormat="1" applyFill="1"/>
    <xf numFmtId="3" fontId="42" fillId="7" borderId="6" xfId="2" applyNumberFormat="1" applyFont="1" applyFill="1" applyBorder="1" applyAlignment="1">
      <alignment horizontal="right"/>
    </xf>
    <xf numFmtId="0" fontId="0" fillId="8" borderId="14" xfId="0" applyFill="1" applyBorder="1"/>
    <xf numFmtId="43" fontId="0" fillId="8" borderId="15" xfId="0" applyNumberFormat="1" applyFill="1" applyBorder="1"/>
    <xf numFmtId="43" fontId="0" fillId="8" borderId="16" xfId="0" applyNumberFormat="1" applyFill="1" applyBorder="1"/>
    <xf numFmtId="0" fontId="0" fillId="8" borderId="17" xfId="0" applyFill="1" applyBorder="1"/>
    <xf numFmtId="43" fontId="0" fillId="8" borderId="0" xfId="0" applyNumberFormat="1" applyFill="1" applyBorder="1"/>
    <xf numFmtId="43" fontId="0" fillId="8" borderId="18" xfId="0" applyNumberFormat="1" applyFill="1" applyBorder="1"/>
    <xf numFmtId="0" fontId="0" fillId="8" borderId="0" xfId="0" applyFill="1" applyBorder="1"/>
    <xf numFmtId="0" fontId="0" fillId="8" borderId="18" xfId="0" applyFill="1" applyBorder="1"/>
    <xf numFmtId="0" fontId="0" fillId="8" borderId="19" xfId="0" applyFill="1" applyBorder="1"/>
    <xf numFmtId="43" fontId="0" fillId="8" borderId="1" xfId="0" applyNumberFormat="1" applyFill="1" applyBorder="1"/>
    <xf numFmtId="0" fontId="0" fillId="8" borderId="20" xfId="0" applyFill="1" applyBorder="1"/>
    <xf numFmtId="0" fontId="56" fillId="0" borderId="0" xfId="0" applyFont="1"/>
    <xf numFmtId="43" fontId="30" fillId="8" borderId="11" xfId="2" applyFont="1" applyFill="1" applyBorder="1" applyAlignment="1"/>
    <xf numFmtId="43" fontId="0" fillId="9" borderId="0" xfId="2" applyFont="1" applyFill="1"/>
    <xf numFmtId="0" fontId="51" fillId="8" borderId="0" xfId="0" applyFont="1" applyFill="1"/>
    <xf numFmtId="4" fontId="0" fillId="8" borderId="0" xfId="0" applyNumberFormat="1" applyFill="1" applyBorder="1"/>
    <xf numFmtId="0" fontId="57" fillId="8" borderId="0" xfId="3" applyFont="1" applyFill="1" applyBorder="1"/>
    <xf numFmtId="4" fontId="57" fillId="8" borderId="0" xfId="3" applyNumberFormat="1" applyFont="1" applyFill="1" applyBorder="1"/>
    <xf numFmtId="21" fontId="0" fillId="8" borderId="0" xfId="0" applyNumberFormat="1" applyFill="1"/>
    <xf numFmtId="4" fontId="27" fillId="8" borderId="11" xfId="0" applyNumberFormat="1" applyFont="1" applyFill="1" applyBorder="1"/>
    <xf numFmtId="168" fontId="0" fillId="8" borderId="0" xfId="2" applyNumberFormat="1" applyFont="1" applyFill="1"/>
    <xf numFmtId="0" fontId="44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60" fillId="8" borderId="0" xfId="0" applyFont="1" applyFill="1"/>
    <xf numFmtId="0" fontId="60" fillId="0" borderId="0" xfId="0" applyFont="1"/>
    <xf numFmtId="0" fontId="59" fillId="8" borderId="0" xfId="0" applyFont="1" applyFill="1"/>
    <xf numFmtId="167" fontId="41" fillId="8" borderId="0" xfId="0" applyNumberFormat="1" applyFont="1" applyFill="1"/>
    <xf numFmtId="166" fontId="41" fillId="8" borderId="0" xfId="4" applyFont="1" applyFill="1"/>
    <xf numFmtId="166" fontId="59" fillId="8" borderId="0" xfId="4" applyFont="1" applyFill="1"/>
    <xf numFmtId="167" fontId="59" fillId="8" borderId="0" xfId="0" applyNumberFormat="1" applyFont="1" applyFill="1"/>
    <xf numFmtId="168" fontId="59" fillId="8" borderId="0" xfId="0" applyNumberFormat="1" applyFont="1" applyFill="1"/>
    <xf numFmtId="17" fontId="61" fillId="10" borderId="6" xfId="0" quotePrefix="1" applyNumberFormat="1" applyFont="1" applyFill="1" applyBorder="1" applyAlignment="1">
      <alignment horizontal="center"/>
    </xf>
    <xf numFmtId="167" fontId="43" fillId="5" borderId="0" xfId="4" applyNumberFormat="1" applyFont="1" applyFill="1" applyBorder="1"/>
    <xf numFmtId="0" fontId="48" fillId="0" borderId="0" xfId="0" applyFont="1"/>
    <xf numFmtId="0" fontId="43" fillId="5" borderId="0" xfId="0" applyFont="1" applyFill="1"/>
    <xf numFmtId="164" fontId="46" fillId="6" borderId="4" xfId="0" applyNumberFormat="1" applyFont="1" applyFill="1" applyBorder="1" applyAlignment="1">
      <alignment horizontal="center" wrapText="1"/>
    </xf>
    <xf numFmtId="0" fontId="42" fillId="7" borderId="0" xfId="0" applyFont="1" applyFill="1" applyBorder="1" applyAlignment="1">
      <alignment wrapText="1"/>
    </xf>
    <xf numFmtId="164" fontId="42" fillId="7" borderId="4" xfId="0" applyNumberFormat="1" applyFont="1" applyFill="1" applyBorder="1" applyAlignment="1">
      <alignment horizontal="right" wrapText="1"/>
    </xf>
    <xf numFmtId="4" fontId="62" fillId="0" borderId="0" xfId="0" applyNumberFormat="1" applyFont="1"/>
    <xf numFmtId="4" fontId="0" fillId="12" borderId="11" xfId="0" applyNumberFormat="1" applyFill="1" applyBorder="1"/>
    <xf numFmtId="0" fontId="34" fillId="0" borderId="0" xfId="0" applyFont="1" applyBorder="1" applyAlignment="1">
      <alignment vertical="center"/>
    </xf>
    <xf numFmtId="4" fontId="0" fillId="0" borderId="0" xfId="0" applyNumberFormat="1" applyBorder="1"/>
    <xf numFmtId="0" fontId="34" fillId="8" borderId="0" xfId="0" applyFont="1" applyFill="1" applyAlignment="1">
      <alignment vertical="center"/>
    </xf>
    <xf numFmtId="0" fontId="44" fillId="8" borderId="0" xfId="0" applyFont="1" applyFill="1" applyBorder="1" applyAlignment="1">
      <alignment vertical="center"/>
    </xf>
    <xf numFmtId="43" fontId="63" fillId="8" borderId="0" xfId="6" applyFont="1" applyFill="1"/>
    <xf numFmtId="164" fontId="39" fillId="8" borderId="5" xfId="0" applyNumberFormat="1" applyFont="1" applyFill="1" applyBorder="1" applyAlignment="1">
      <alignment horizontal="right"/>
    </xf>
    <xf numFmtId="0" fontId="64" fillId="0" borderId="0" xfId="0" applyFont="1"/>
    <xf numFmtId="0" fontId="27" fillId="0" borderId="0" xfId="0" applyFont="1" applyAlignment="1">
      <alignment wrapText="1"/>
    </xf>
    <xf numFmtId="43" fontId="54" fillId="8" borderId="11" xfId="2" applyFont="1" applyFill="1" applyBorder="1"/>
    <xf numFmtId="43" fontId="30" fillId="8" borderId="11" xfId="0" applyNumberFormat="1" applyFont="1" applyFill="1" applyBorder="1"/>
    <xf numFmtId="4" fontId="0" fillId="0" borderId="11" xfId="0" applyNumberFormat="1" applyBorder="1"/>
    <xf numFmtId="0" fontId="46" fillId="6" borderId="33" xfId="0" applyFont="1" applyFill="1" applyBorder="1" applyAlignment="1">
      <alignment horizontal="center" wrapText="1"/>
    </xf>
    <xf numFmtId="0" fontId="46" fillId="6" borderId="28" xfId="0" applyFont="1" applyFill="1" applyBorder="1" applyAlignment="1">
      <alignment horizontal="center" wrapText="1"/>
    </xf>
    <xf numFmtId="0" fontId="43" fillId="5" borderId="28" xfId="0" applyFont="1" applyFill="1" applyBorder="1" applyAlignment="1">
      <alignment wrapText="1"/>
    </xf>
    <xf numFmtId="164" fontId="39" fillId="8" borderId="5" xfId="0" applyNumberFormat="1" applyFont="1" applyFill="1" applyBorder="1" applyAlignment="1">
      <alignment horizontal="right"/>
    </xf>
    <xf numFmtId="0" fontId="46" fillId="6" borderId="31" xfId="0" quotePrefix="1" applyFont="1" applyFill="1" applyBorder="1" applyAlignment="1">
      <alignment horizontal="center"/>
    </xf>
    <xf numFmtId="0" fontId="42" fillId="7" borderId="34" xfId="0" applyFont="1" applyFill="1" applyBorder="1" applyAlignment="1">
      <alignment wrapText="1"/>
    </xf>
    <xf numFmtId="0" fontId="42" fillId="7" borderId="34" xfId="0" applyFont="1" applyFill="1" applyBorder="1" applyAlignment="1">
      <alignment horizontal="left" wrapText="1"/>
    </xf>
    <xf numFmtId="41" fontId="43" fillId="5" borderId="4" xfId="0" applyNumberFormat="1" applyFont="1" applyFill="1" applyBorder="1" applyAlignment="1">
      <alignment horizontal="center"/>
    </xf>
    <xf numFmtId="0" fontId="46" fillId="6" borderId="36" xfId="0" applyFont="1" applyFill="1" applyBorder="1" applyAlignment="1">
      <alignment horizontal="center" wrapText="1"/>
    </xf>
    <xf numFmtId="0" fontId="46" fillId="6" borderId="35" xfId="0" applyFont="1" applyFill="1" applyBorder="1" applyAlignment="1">
      <alignment horizontal="center" wrapText="1"/>
    </xf>
    <xf numFmtId="0" fontId="42" fillId="7" borderId="25" xfId="0" applyFont="1" applyFill="1" applyBorder="1" applyAlignment="1">
      <alignment wrapText="1"/>
    </xf>
    <xf numFmtId="164" fontId="42" fillId="7" borderId="37" xfId="0" applyNumberFormat="1" applyFont="1" applyFill="1" applyBorder="1" applyAlignment="1">
      <alignment horizontal="right" wrapText="1"/>
    </xf>
    <xf numFmtId="49" fontId="65" fillId="0" borderId="0" xfId="0" applyNumberFormat="1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 indent="2"/>
    </xf>
    <xf numFmtId="39" fontId="65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3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left" vertical="center" indent="5"/>
    </xf>
    <xf numFmtId="0" fontId="65" fillId="0" borderId="0" xfId="0" applyFont="1" applyAlignment="1">
      <alignment horizontal="left" vertical="center" indent="6"/>
    </xf>
    <xf numFmtId="0" fontId="65" fillId="0" borderId="0" xfId="0" applyFont="1" applyAlignment="1">
      <alignment horizontal="left" vertical="center" indent="7"/>
    </xf>
    <xf numFmtId="14" fontId="46" fillId="6" borderId="31" xfId="0" quotePrefix="1" applyNumberFormat="1" applyFont="1" applyFill="1" applyBorder="1" applyAlignment="1">
      <alignment horizontal="center" wrapText="1"/>
    </xf>
    <xf numFmtId="0" fontId="92" fillId="0" borderId="0" xfId="0" applyFont="1"/>
    <xf numFmtId="0" fontId="92" fillId="0" borderId="28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0" borderId="0" xfId="0" applyFont="1" applyBorder="1"/>
    <xf numFmtId="0" fontId="94" fillId="14" borderId="25" xfId="3" applyFont="1" applyFill="1" applyBorder="1" applyAlignment="1">
      <alignment vertical="center"/>
    </xf>
    <xf numFmtId="0" fontId="95" fillId="0" borderId="29" xfId="3" applyFont="1" applyFill="1" applyBorder="1" applyAlignment="1">
      <alignment horizontal="left" vertical="center"/>
    </xf>
    <xf numFmtId="170" fontId="93" fillId="0" borderId="0" xfId="0" applyNumberFormat="1" applyFont="1" applyAlignment="1">
      <alignment vertical="center"/>
    </xf>
    <xf numFmtId="0" fontId="96" fillId="0" borderId="0" xfId="0" applyFont="1"/>
    <xf numFmtId="0" fontId="96" fillId="0" borderId="0" xfId="0" applyFont="1" applyFill="1" applyAlignment="1">
      <alignment horizontal="left"/>
    </xf>
    <xf numFmtId="0" fontId="96" fillId="0" borderId="28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28" xfId="0" applyFont="1" applyBorder="1"/>
    <xf numFmtId="37" fontId="96" fillId="0" borderId="28" xfId="0" applyNumberFormat="1" applyFont="1" applyBorder="1"/>
    <xf numFmtId="0" fontId="96" fillId="0" borderId="0" xfId="0" applyFont="1" applyBorder="1"/>
    <xf numFmtId="0" fontId="96" fillId="0" borderId="0" xfId="0" applyFont="1" applyBorder="1" applyAlignment="1">
      <alignment vertical="center"/>
    </xf>
    <xf numFmtId="0" fontId="97" fillId="14" borderId="25" xfId="3" applyFont="1" applyFill="1" applyBorder="1" applyAlignment="1">
      <alignment vertical="center"/>
    </xf>
    <xf numFmtId="0" fontId="96" fillId="0" borderId="51" xfId="3" applyFont="1" applyFill="1" applyBorder="1" applyAlignment="1">
      <alignment horizontal="left" vertical="center"/>
    </xf>
    <xf numFmtId="170" fontId="96" fillId="0" borderId="52" xfId="0" applyNumberFormat="1" applyFont="1" applyBorder="1" applyAlignment="1">
      <alignment vertical="center"/>
    </xf>
    <xf numFmtId="0" fontId="98" fillId="0" borderId="33" xfId="3" applyFont="1" applyFill="1" applyBorder="1" applyAlignment="1">
      <alignment horizontal="left" vertical="center"/>
    </xf>
    <xf numFmtId="0" fontId="96" fillId="0" borderId="0" xfId="0" applyFont="1" applyFill="1"/>
    <xf numFmtId="0" fontId="96" fillId="0" borderId="0" xfId="0" applyFont="1" applyFill="1" applyAlignment="1">
      <alignment horizontal="center"/>
    </xf>
    <xf numFmtId="170" fontId="91" fillId="0" borderId="33" xfId="8" applyNumberFormat="1" applyFont="1" applyFill="1" applyBorder="1" applyAlignment="1">
      <alignment horizontal="left" vertical="center"/>
    </xf>
    <xf numFmtId="170" fontId="91" fillId="0" borderId="31" xfId="8" applyNumberFormat="1" applyFont="1" applyFill="1" applyBorder="1" applyAlignment="1">
      <alignment horizontal="center" vertical="center"/>
    </xf>
    <xf numFmtId="170" fontId="91" fillId="0" borderId="29" xfId="8" applyNumberFormat="1" applyFont="1" applyFill="1" applyBorder="1" applyAlignment="1">
      <alignment horizontal="right" vertical="center"/>
    </xf>
    <xf numFmtId="170" fontId="91" fillId="0" borderId="21" xfId="8" applyNumberFormat="1" applyFont="1" applyFill="1" applyBorder="1" applyAlignment="1">
      <alignment horizontal="right" vertical="center"/>
    </xf>
    <xf numFmtId="170" fontId="96" fillId="0" borderId="33" xfId="8" applyNumberFormat="1" applyFont="1" applyFill="1" applyBorder="1" applyAlignment="1">
      <alignment horizontal="left" vertical="center"/>
    </xf>
    <xf numFmtId="170" fontId="96" fillId="0" borderId="31" xfId="8" applyNumberFormat="1" applyFont="1" applyFill="1" applyBorder="1" applyAlignment="1">
      <alignment horizontal="center" vertical="center"/>
    </xf>
    <xf numFmtId="170" fontId="96" fillId="0" borderId="21" xfId="8" applyNumberFormat="1" applyFont="1" applyFill="1" applyBorder="1" applyAlignment="1">
      <alignment horizontal="right" vertical="center"/>
    </xf>
    <xf numFmtId="170" fontId="96" fillId="0" borderId="24" xfId="8" applyNumberFormat="1" applyFont="1" applyFill="1" applyBorder="1" applyAlignment="1">
      <alignment horizontal="left" vertical="center" indent="1"/>
    </xf>
    <xf numFmtId="170" fontId="96" fillId="0" borderId="33" xfId="8" applyNumberFormat="1" applyFont="1" applyFill="1" applyBorder="1" applyAlignment="1">
      <alignment horizontal="left" vertical="center" indent="1"/>
    </xf>
    <xf numFmtId="170" fontId="96" fillId="0" borderId="26" xfId="8" applyNumberFormat="1" applyFont="1" applyFill="1" applyBorder="1" applyAlignment="1">
      <alignment horizontal="center" vertical="center"/>
    </xf>
    <xf numFmtId="170" fontId="91" fillId="0" borderId="0" xfId="8" applyNumberFormat="1" applyFont="1" applyFill="1" applyBorder="1" applyAlignment="1">
      <alignment horizontal="left" vertical="center"/>
    </xf>
    <xf numFmtId="170" fontId="91" fillId="0" borderId="28" xfId="8" applyNumberFormat="1" applyFont="1" applyFill="1" applyBorder="1" applyAlignment="1">
      <alignment horizontal="center" vertical="center"/>
    </xf>
    <xf numFmtId="170" fontId="96" fillId="0" borderId="0" xfId="8" applyNumberFormat="1" applyFont="1" applyFill="1" applyBorder="1" applyAlignment="1">
      <alignment horizontal="left" vertical="center"/>
    </xf>
    <xf numFmtId="170" fontId="96" fillId="0" borderId="25" xfId="8" applyNumberFormat="1" applyFont="1" applyFill="1" applyBorder="1" applyAlignment="1">
      <alignment horizontal="left" vertical="center"/>
    </xf>
    <xf numFmtId="170" fontId="96" fillId="0" borderId="28" xfId="8" applyNumberFormat="1" applyFont="1" applyFill="1" applyBorder="1" applyAlignment="1">
      <alignment horizontal="center" vertical="center"/>
    </xf>
    <xf numFmtId="0" fontId="96" fillId="0" borderId="0" xfId="0" applyFont="1" applyFill="1" applyBorder="1"/>
    <xf numFmtId="170" fontId="96" fillId="0" borderId="0" xfId="0" applyNumberFormat="1" applyFont="1" applyFill="1" applyAlignment="1">
      <alignment vertical="center"/>
    </xf>
    <xf numFmtId="0" fontId="92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164" fontId="96" fillId="0" borderId="0" xfId="0" applyNumberFormat="1" applyFont="1" applyBorder="1"/>
    <xf numFmtId="4" fontId="96" fillId="0" borderId="0" xfId="0" applyNumberFormat="1" applyFont="1" applyFill="1" applyBorder="1"/>
    <xf numFmtId="0" fontId="96" fillId="0" borderId="0" xfId="0" applyFont="1" applyAlignment="1">
      <alignment vertical="center"/>
    </xf>
    <xf numFmtId="0" fontId="91" fillId="0" borderId="24" xfId="3" applyFont="1" applyFill="1" applyBorder="1" applyAlignment="1">
      <alignment horizontal="left" vertical="center" indent="1"/>
    </xf>
    <xf numFmtId="0" fontId="91" fillId="0" borderId="26" xfId="3" applyFont="1" applyFill="1" applyBorder="1" applyAlignment="1">
      <alignment horizontal="center" vertical="center"/>
    </xf>
    <xf numFmtId="0" fontId="96" fillId="0" borderId="24" xfId="3" applyFont="1" applyFill="1" applyBorder="1" applyAlignment="1">
      <alignment horizontal="left" vertical="center" indent="1"/>
    </xf>
    <xf numFmtId="0" fontId="96" fillId="0" borderId="26" xfId="3" applyFont="1" applyFill="1" applyBorder="1" applyAlignment="1">
      <alignment horizontal="center" vertical="center"/>
    </xf>
    <xf numFmtId="170" fontId="96" fillId="0" borderId="21" xfId="3" quotePrefix="1" applyNumberFormat="1" applyFont="1" applyFill="1" applyBorder="1" applyAlignment="1">
      <alignment vertical="center"/>
    </xf>
    <xf numFmtId="170" fontId="91" fillId="0" borderId="21" xfId="3" applyNumberFormat="1" applyFont="1" applyFill="1" applyBorder="1" applyAlignment="1">
      <alignment vertical="center"/>
    </xf>
    <xf numFmtId="167" fontId="91" fillId="0" borderId="21" xfId="2" applyNumberFormat="1" applyFont="1" applyFill="1" applyBorder="1" applyAlignment="1">
      <alignment vertical="center"/>
    </xf>
    <xf numFmtId="0" fontId="91" fillId="0" borderId="30" xfId="3" applyFont="1" applyFill="1" applyBorder="1" applyAlignment="1">
      <alignment horizontal="left" vertical="center" indent="1"/>
    </xf>
    <xf numFmtId="0" fontId="91" fillId="0" borderId="31" xfId="3" applyFont="1" applyFill="1" applyBorder="1" applyAlignment="1">
      <alignment horizontal="center" vertical="center"/>
    </xf>
    <xf numFmtId="0" fontId="96" fillId="0" borderId="0" xfId="0" applyFont="1" applyFill="1" applyAlignment="1">
      <alignment horizontal="right"/>
    </xf>
    <xf numFmtId="0" fontId="96" fillId="0" borderId="0" xfId="0" applyFont="1" applyAlignment="1">
      <alignment horizontal="right"/>
    </xf>
    <xf numFmtId="170" fontId="96" fillId="0" borderId="0" xfId="0" applyNumberFormat="1" applyFont="1" applyFill="1" applyAlignment="1">
      <alignment horizontal="right"/>
    </xf>
    <xf numFmtId="166" fontId="96" fillId="0" borderId="0" xfId="0" applyNumberFormat="1" applyFont="1" applyFill="1" applyAlignment="1">
      <alignment horizontal="right"/>
    </xf>
    <xf numFmtId="170" fontId="91" fillId="0" borderId="21" xfId="3" quotePrefix="1" applyNumberFormat="1" applyFont="1" applyFill="1" applyBorder="1" applyAlignment="1">
      <alignment vertical="center"/>
    </xf>
    <xf numFmtId="0" fontId="96" fillId="0" borderId="24" xfId="3" applyFont="1" applyFill="1" applyBorder="1" applyAlignment="1">
      <alignment horizontal="left" vertical="center" indent="2"/>
    </xf>
    <xf numFmtId="0" fontId="99" fillId="0" borderId="0" xfId="0" applyFont="1"/>
    <xf numFmtId="0" fontId="92" fillId="0" borderId="0" xfId="0" applyFont="1" applyFill="1"/>
    <xf numFmtId="170" fontId="91" fillId="0" borderId="21" xfId="0" applyNumberFormat="1" applyFont="1" applyFill="1" applyBorder="1" applyAlignment="1">
      <alignment vertical="center"/>
    </xf>
    <xf numFmtId="0" fontId="91" fillId="0" borderId="24" xfId="0" applyFont="1" applyFill="1" applyBorder="1" applyAlignment="1">
      <alignment horizontal="left" vertical="center" indent="1"/>
    </xf>
    <xf numFmtId="49" fontId="91" fillId="0" borderId="25" xfId="0" applyNumberFormat="1" applyFont="1" applyFill="1" applyBorder="1" applyAlignment="1">
      <alignment horizontal="left" vertical="center" indent="1"/>
    </xf>
    <xf numFmtId="170" fontId="91" fillId="0" borderId="21" xfId="0" applyNumberFormat="1" applyFont="1" applyFill="1" applyBorder="1" applyAlignment="1">
      <alignment horizontal="left" vertical="center" indent="1"/>
    </xf>
    <xf numFmtId="0" fontId="96" fillId="0" borderId="24" xfId="0" applyFont="1" applyFill="1" applyBorder="1" applyAlignment="1">
      <alignment horizontal="left" vertical="center" indent="2"/>
    </xf>
    <xf numFmtId="49" fontId="96" fillId="0" borderId="25" xfId="0" applyNumberFormat="1" applyFont="1" applyFill="1" applyBorder="1" applyAlignment="1">
      <alignment horizontal="left" vertical="center" indent="2"/>
    </xf>
    <xf numFmtId="170" fontId="96" fillId="0" borderId="21" xfId="0" applyNumberFormat="1" applyFont="1" applyFill="1" applyBorder="1" applyAlignment="1">
      <alignment horizontal="left" vertical="center" indent="2"/>
    </xf>
    <xf numFmtId="49" fontId="96" fillId="0" borderId="25" xfId="0" applyNumberFormat="1" applyFont="1" applyFill="1" applyBorder="1" applyAlignment="1">
      <alignment horizontal="left" vertical="center" indent="3"/>
    </xf>
    <xf numFmtId="170" fontId="96" fillId="0" borderId="21" xfId="0" applyNumberFormat="1" applyFont="1" applyFill="1" applyBorder="1" applyAlignment="1">
      <alignment vertical="center"/>
    </xf>
    <xf numFmtId="0" fontId="91" fillId="0" borderId="30" xfId="0" applyFont="1" applyFill="1" applyBorder="1" applyAlignment="1">
      <alignment vertical="center"/>
    </xf>
    <xf numFmtId="49" fontId="91" fillId="0" borderId="33" xfId="0" applyNumberFormat="1" applyFont="1" applyFill="1" applyBorder="1" applyAlignment="1">
      <alignment horizontal="center" vertical="center"/>
    </xf>
    <xf numFmtId="170" fontId="91" fillId="0" borderId="29" xfId="0" applyNumberFormat="1" applyFont="1" applyFill="1" applyBorder="1" applyAlignment="1">
      <alignment vertical="center"/>
    </xf>
    <xf numFmtId="0" fontId="96" fillId="0" borderId="0" xfId="20" applyFont="1" applyAlignment="1">
      <alignment vertical="center"/>
    </xf>
    <xf numFmtId="0" fontId="96" fillId="0" borderId="0" xfId="20" applyFont="1" applyBorder="1" applyAlignment="1">
      <alignment vertical="center"/>
    </xf>
    <xf numFmtId="0" fontId="96" fillId="0" borderId="0" xfId="20" applyFont="1" applyAlignment="1">
      <alignment horizontal="center" vertical="center"/>
    </xf>
    <xf numFmtId="0" fontId="96" fillId="0" borderId="26" xfId="20" applyFont="1" applyBorder="1" applyAlignment="1">
      <alignment horizontal="center" vertical="center"/>
    </xf>
    <xf numFmtId="0" fontId="91" fillId="0" borderId="0" xfId="20" applyFont="1" applyAlignment="1">
      <alignment horizontal="center" vertical="center"/>
    </xf>
    <xf numFmtId="0" fontId="96" fillId="0" borderId="0" xfId="20" applyFont="1" applyFill="1" applyAlignment="1">
      <alignment vertical="center"/>
    </xf>
    <xf numFmtId="0" fontId="91" fillId="0" borderId="0" xfId="20" applyFont="1" applyAlignment="1">
      <alignment vertical="center"/>
    </xf>
    <xf numFmtId="0" fontId="91" fillId="0" borderId="0" xfId="20" applyFont="1" applyFill="1" applyAlignment="1">
      <alignment vertical="center"/>
    </xf>
    <xf numFmtId="0" fontId="98" fillId="0" borderId="26" xfId="20" applyFont="1" applyBorder="1" applyAlignment="1">
      <alignment vertical="center"/>
    </xf>
    <xf numFmtId="170" fontId="96" fillId="0" borderId="21" xfId="20" applyNumberFormat="1" applyFont="1" applyBorder="1" applyAlignment="1">
      <alignment vertical="center"/>
    </xf>
    <xf numFmtId="0" fontId="91" fillId="0" borderId="24" xfId="0" applyFont="1" applyFill="1" applyBorder="1" applyAlignment="1">
      <alignment horizontal="center" vertical="center"/>
    </xf>
    <xf numFmtId="0" fontId="91" fillId="0" borderId="25" xfId="0" applyFont="1" applyFill="1" applyBorder="1" applyAlignment="1">
      <alignment vertical="center"/>
    </xf>
    <xf numFmtId="170" fontId="91" fillId="0" borderId="21" xfId="20" applyNumberFormat="1" applyFont="1" applyFill="1" applyBorder="1" applyAlignment="1">
      <alignment vertical="center"/>
    </xf>
    <xf numFmtId="0" fontId="96" fillId="0" borderId="24" xfId="3" applyFont="1" applyFill="1" applyBorder="1" applyAlignment="1">
      <alignment horizontal="center" vertical="center"/>
    </xf>
    <xf numFmtId="0" fontId="96" fillId="0" borderId="25" xfId="3" applyFont="1" applyFill="1" applyBorder="1" applyAlignment="1">
      <alignment horizontal="left" vertical="center"/>
    </xf>
    <xf numFmtId="0" fontId="91" fillId="0" borderId="25" xfId="3" applyFont="1" applyFill="1" applyBorder="1" applyAlignment="1">
      <alignment horizontal="left" vertical="center"/>
    </xf>
    <xf numFmtId="170" fontId="96" fillId="0" borderId="21" xfId="23" applyNumberFormat="1" applyFont="1" applyFill="1" applyBorder="1" applyAlignment="1">
      <alignment horizontal="right" vertical="center"/>
    </xf>
    <xf numFmtId="0" fontId="91" fillId="0" borderId="24" xfId="3" applyFont="1" applyFill="1" applyBorder="1" applyAlignment="1">
      <alignment horizontal="center" vertical="center"/>
    </xf>
    <xf numFmtId="170" fontId="91" fillId="0" borderId="21" xfId="23" applyNumberFormat="1" applyFont="1" applyFill="1" applyBorder="1" applyAlignment="1">
      <alignment horizontal="right" vertical="center"/>
    </xf>
    <xf numFmtId="0" fontId="96" fillId="0" borderId="25" xfId="3" applyFont="1" applyFill="1" applyBorder="1" applyAlignment="1">
      <alignment horizontal="left" vertical="center" indent="1"/>
    </xf>
    <xf numFmtId="0" fontId="91" fillId="0" borderId="32" xfId="20" applyFont="1" applyBorder="1" applyAlignment="1">
      <alignment vertical="center"/>
    </xf>
    <xf numFmtId="0" fontId="96" fillId="0" borderId="32" xfId="20" applyFont="1" applyBorder="1" applyAlignment="1">
      <alignment horizontal="center" vertical="center"/>
    </xf>
    <xf numFmtId="0" fontId="91" fillId="0" borderId="27" xfId="20" applyFont="1" applyBorder="1" applyAlignment="1">
      <alignment horizontal="right" vertical="center"/>
    </xf>
    <xf numFmtId="0" fontId="91" fillId="0" borderId="30" xfId="0" applyFont="1" applyFill="1" applyBorder="1" applyAlignment="1">
      <alignment horizontal="center" vertical="center"/>
    </xf>
    <xf numFmtId="0" fontId="91" fillId="0" borderId="33" xfId="0" applyFont="1" applyFill="1" applyBorder="1" applyAlignment="1">
      <alignment vertical="center"/>
    </xf>
    <xf numFmtId="170" fontId="91" fillId="0" borderId="29" xfId="20" applyNumberFormat="1" applyFont="1" applyFill="1" applyBorder="1" applyAlignment="1">
      <alignment vertical="center"/>
    </xf>
    <xf numFmtId="0" fontId="91" fillId="0" borderId="62" xfId="0" applyFont="1" applyFill="1" applyBorder="1" applyAlignment="1">
      <alignment horizontal="center" vertical="center" wrapText="1"/>
    </xf>
    <xf numFmtId="0" fontId="92" fillId="0" borderId="0" xfId="0" applyFont="1" applyAlignment="1">
      <alignment vertical="center"/>
    </xf>
    <xf numFmtId="0" fontId="96" fillId="0" borderId="0" xfId="0" applyFont="1" applyFill="1" applyAlignment="1">
      <alignment vertical="center"/>
    </xf>
    <xf numFmtId="0" fontId="96" fillId="0" borderId="0" xfId="0" applyFont="1" applyFill="1" applyAlignment="1">
      <alignment horizontal="left" vertical="center"/>
    </xf>
    <xf numFmtId="170" fontId="91" fillId="0" borderId="52" xfId="0" applyNumberFormat="1" applyFont="1" applyBorder="1" applyAlignment="1">
      <alignment vertical="center"/>
    </xf>
    <xf numFmtId="0" fontId="96" fillId="0" borderId="21" xfId="10" applyFont="1" applyFill="1" applyBorder="1" applyAlignment="1">
      <alignment horizontal="left" vertical="center" indent="1"/>
    </xf>
    <xf numFmtId="170" fontId="96" fillId="0" borderId="29" xfId="23" applyNumberFormat="1" applyFont="1" applyFill="1" applyBorder="1" applyAlignment="1">
      <alignment horizontal="right" vertical="center"/>
    </xf>
    <xf numFmtId="0" fontId="91" fillId="0" borderId="58" xfId="10" applyFont="1" applyFill="1" applyBorder="1" applyAlignment="1">
      <alignment horizontal="center" vertical="center" wrapText="1"/>
    </xf>
    <xf numFmtId="4" fontId="92" fillId="0" borderId="0" xfId="0" applyNumberFormat="1" applyFont="1" applyAlignment="1">
      <alignment vertical="center"/>
    </xf>
    <xf numFmtId="0" fontId="101" fillId="8" borderId="12" xfId="0" applyFont="1" applyFill="1" applyBorder="1" applyAlignment="1">
      <alignment horizontal="right" vertical="center"/>
    </xf>
    <xf numFmtId="0" fontId="101" fillId="8" borderId="0" xfId="0" applyFont="1" applyFill="1" applyBorder="1" applyAlignment="1">
      <alignment horizontal="right" vertical="center"/>
    </xf>
    <xf numFmtId="4" fontId="96" fillId="0" borderId="0" xfId="0" applyNumberFormat="1" applyFont="1" applyAlignment="1">
      <alignment vertical="center"/>
    </xf>
    <xf numFmtId="0" fontId="91" fillId="0" borderId="51" xfId="3" applyFont="1" applyFill="1" applyBorder="1" applyAlignment="1">
      <alignment horizontal="left" vertical="center"/>
    </xf>
    <xf numFmtId="168" fontId="96" fillId="0" borderId="21" xfId="2" applyNumberFormat="1" applyFont="1" applyFill="1" applyBorder="1" applyAlignment="1">
      <alignment horizontal="right" vertical="center"/>
    </xf>
    <xf numFmtId="168" fontId="96" fillId="0" borderId="29" xfId="2" applyNumberFormat="1" applyFont="1" applyFill="1" applyBorder="1" applyAlignment="1">
      <alignment horizontal="right" vertical="center"/>
    </xf>
    <xf numFmtId="4" fontId="99" fillId="0" borderId="0" xfId="0" applyNumberFormat="1" applyFont="1" applyAlignment="1">
      <alignment vertical="center"/>
    </xf>
    <xf numFmtId="164" fontId="96" fillId="0" borderId="4" xfId="0" applyNumberFormat="1" applyFont="1" applyFill="1" applyBorder="1" applyAlignment="1">
      <alignment vertical="center" wrapText="1"/>
    </xf>
    <xf numFmtId="14" fontId="91" fillId="0" borderId="62" xfId="0" quotePrefix="1" applyNumberFormat="1" applyFont="1" applyFill="1" applyBorder="1" applyAlignment="1">
      <alignment horizontal="center" vertical="center"/>
    </xf>
    <xf numFmtId="170" fontId="103" fillId="0" borderId="33" xfId="8" applyNumberFormat="1" applyFont="1" applyFill="1" applyBorder="1" applyAlignment="1">
      <alignment horizontal="left" vertical="center"/>
    </xf>
    <xf numFmtId="170" fontId="103" fillId="0" borderId="31" xfId="8" applyNumberFormat="1" applyFont="1" applyFill="1" applyBorder="1" applyAlignment="1">
      <alignment horizontal="center" vertical="center"/>
    </xf>
    <xf numFmtId="170" fontId="103" fillId="0" borderId="21" xfId="8" applyNumberFormat="1" applyFont="1" applyFill="1" applyBorder="1" applyAlignment="1">
      <alignment horizontal="right" vertical="center"/>
    </xf>
    <xf numFmtId="170" fontId="103" fillId="0" borderId="25" xfId="8" applyNumberFormat="1" applyFont="1" applyFill="1" applyBorder="1" applyAlignment="1">
      <alignment horizontal="left" vertical="center"/>
    </xf>
    <xf numFmtId="170" fontId="103" fillId="0" borderId="26" xfId="8" applyNumberFormat="1" applyFont="1" applyFill="1" applyBorder="1" applyAlignment="1">
      <alignment horizontal="center" vertical="center"/>
    </xf>
    <xf numFmtId="170" fontId="104" fillId="0" borderId="25" xfId="8" applyNumberFormat="1" applyFont="1" applyFill="1" applyBorder="1" applyAlignment="1">
      <alignment horizontal="left" vertical="center"/>
    </xf>
    <xf numFmtId="170" fontId="104" fillId="0" borderId="21" xfId="8" applyNumberFormat="1" applyFont="1" applyFill="1" applyBorder="1" applyAlignment="1">
      <alignment horizontal="right" vertical="center"/>
    </xf>
    <xf numFmtId="14" fontId="102" fillId="14" borderId="27" xfId="5" quotePrefix="1" applyNumberFormat="1" applyFont="1" applyFill="1" applyBorder="1" applyAlignment="1">
      <alignment horizontal="center" wrapText="1"/>
    </xf>
    <xf numFmtId="14" fontId="102" fillId="14" borderId="27" xfId="0" quotePrefix="1" applyNumberFormat="1" applyFont="1" applyFill="1" applyBorder="1" applyAlignment="1">
      <alignment horizontal="center" vertical="center" wrapText="1"/>
    </xf>
    <xf numFmtId="0" fontId="96" fillId="15" borderId="21" xfId="10" applyFont="1" applyFill="1" applyBorder="1" applyAlignment="1">
      <alignment horizontal="left" vertical="center" indent="1"/>
    </xf>
    <xf numFmtId="0" fontId="96" fillId="0" borderId="27" xfId="10" applyFont="1" applyFill="1" applyBorder="1" applyAlignment="1">
      <alignment horizontal="left" vertical="center" indent="1"/>
    </xf>
    <xf numFmtId="170" fontId="96" fillId="0" borderId="27" xfId="23" applyNumberFormat="1" applyFont="1" applyFill="1" applyBorder="1" applyAlignment="1">
      <alignment horizontal="right" vertical="center"/>
    </xf>
    <xf numFmtId="170" fontId="91" fillId="0" borderId="58" xfId="23" applyNumberFormat="1" applyFont="1" applyFill="1" applyBorder="1" applyAlignment="1">
      <alignment horizontal="right" vertical="center"/>
    </xf>
    <xf numFmtId="0" fontId="96" fillId="15" borderId="27" xfId="10" applyFont="1" applyFill="1" applyBorder="1" applyAlignment="1">
      <alignment horizontal="left" vertical="center" indent="1"/>
    </xf>
    <xf numFmtId="0" fontId="91" fillId="0" borderId="58" xfId="0" applyFont="1" applyFill="1" applyBorder="1" applyAlignment="1">
      <alignment horizontal="center" vertical="center" wrapText="1"/>
    </xf>
    <xf numFmtId="170" fontId="96" fillId="0" borderId="0" xfId="8" applyNumberFormat="1" applyFont="1" applyFill="1" applyBorder="1" applyAlignment="1">
      <alignment horizontal="left" vertical="center" indent="1"/>
    </xf>
    <xf numFmtId="170" fontId="96" fillId="0" borderId="27" xfId="8" applyNumberFormat="1" applyFont="1" applyFill="1" applyBorder="1" applyAlignment="1">
      <alignment horizontal="right" vertical="center"/>
    </xf>
    <xf numFmtId="0" fontId="96" fillId="0" borderId="63" xfId="0" applyFont="1" applyFill="1" applyBorder="1" applyAlignment="1">
      <alignment horizontal="center"/>
    </xf>
    <xf numFmtId="0" fontId="96" fillId="0" borderId="63" xfId="0" applyFont="1" applyFill="1" applyBorder="1" applyAlignment="1">
      <alignment horizontal="left"/>
    </xf>
    <xf numFmtId="0" fontId="91" fillId="0" borderId="71" xfId="3" applyFont="1" applyFill="1" applyBorder="1" applyAlignment="1">
      <alignment horizontal="left" vertical="center" indent="1"/>
    </xf>
    <xf numFmtId="0" fontId="91" fillId="0" borderId="32" xfId="3" applyFont="1" applyFill="1" applyBorder="1" applyAlignment="1">
      <alignment horizontal="center" vertical="center"/>
    </xf>
    <xf numFmtId="44" fontId="91" fillId="0" borderId="27" xfId="17" applyFont="1" applyFill="1" applyBorder="1" applyAlignment="1">
      <alignment vertical="center"/>
    </xf>
    <xf numFmtId="4" fontId="96" fillId="0" borderId="63" xfId="0" applyNumberFormat="1" applyFont="1" applyFill="1" applyBorder="1"/>
    <xf numFmtId="170" fontId="91" fillId="0" borderId="27" xfId="3" applyNumberFormat="1" applyFont="1" applyFill="1" applyBorder="1" applyAlignment="1">
      <alignment vertical="center"/>
    </xf>
    <xf numFmtId="0" fontId="96" fillId="0" borderId="63" xfId="0" applyFont="1" applyFill="1" applyBorder="1" applyAlignment="1">
      <alignment horizontal="right"/>
    </xf>
    <xf numFmtId="0" fontId="96" fillId="0" borderId="63" xfId="0" applyFont="1" applyBorder="1"/>
    <xf numFmtId="0" fontId="91" fillId="0" borderId="71" xfId="0" applyFont="1" applyFill="1" applyBorder="1" applyAlignment="1">
      <alignment horizontal="left" vertical="center" indent="1"/>
    </xf>
    <xf numFmtId="49" fontId="91" fillId="0" borderId="38" xfId="0" applyNumberFormat="1" applyFont="1" applyFill="1" applyBorder="1" applyAlignment="1">
      <alignment horizontal="left" vertical="center" indent="1"/>
    </xf>
    <xf numFmtId="170" fontId="91" fillId="0" borderId="27" xfId="0" applyNumberFormat="1" applyFont="1" applyFill="1" applyBorder="1" applyAlignment="1">
      <alignment horizontal="left" vertical="center" indent="1"/>
    </xf>
    <xf numFmtId="0" fontId="91" fillId="0" borderId="61" xfId="0" applyFont="1" applyFill="1" applyBorder="1" applyAlignment="1">
      <alignment vertical="center"/>
    </xf>
    <xf numFmtId="49" fontId="91" fillId="0" borderId="53" xfId="0" applyNumberFormat="1" applyFont="1" applyFill="1" applyBorder="1" applyAlignment="1">
      <alignment horizontal="center" vertical="center"/>
    </xf>
    <xf numFmtId="170" fontId="91" fillId="0" borderId="58" xfId="0" applyNumberFormat="1" applyFont="1" applyFill="1" applyBorder="1" applyAlignment="1">
      <alignment vertical="center"/>
    </xf>
    <xf numFmtId="0" fontId="96" fillId="0" borderId="65" xfId="0" applyFont="1" applyFill="1" applyBorder="1" applyAlignment="1">
      <alignment vertical="center"/>
    </xf>
    <xf numFmtId="49" fontId="96" fillId="0" borderId="0" xfId="0" applyNumberFormat="1" applyFont="1" applyFill="1" applyBorder="1" applyAlignment="1">
      <alignment horizontal="center" vertical="center"/>
    </xf>
    <xf numFmtId="170" fontId="96" fillId="0" borderId="69" xfId="0" applyNumberFormat="1" applyFont="1" applyFill="1" applyBorder="1" applyAlignment="1">
      <alignment vertical="center"/>
    </xf>
    <xf numFmtId="0" fontId="91" fillId="0" borderId="54" xfId="0" applyFont="1" applyFill="1" applyBorder="1" applyAlignment="1">
      <alignment vertical="center"/>
    </xf>
    <xf numFmtId="49" fontId="91" fillId="0" borderId="63" xfId="0" applyNumberFormat="1" applyFont="1" applyFill="1" applyBorder="1" applyAlignment="1">
      <alignment horizontal="center" vertical="center"/>
    </xf>
    <xf numFmtId="170" fontId="91" fillId="0" borderId="59" xfId="0" applyNumberFormat="1" applyFont="1" applyFill="1" applyBorder="1" applyAlignment="1">
      <alignment vertical="center"/>
    </xf>
    <xf numFmtId="0" fontId="91" fillId="0" borderId="65" xfId="0" applyFont="1" applyFill="1" applyBorder="1" applyAlignment="1">
      <alignment vertical="center"/>
    </xf>
    <xf numFmtId="49" fontId="91" fillId="0" borderId="0" xfId="0" applyNumberFormat="1" applyFont="1" applyFill="1" applyBorder="1" applyAlignment="1">
      <alignment horizontal="center" vertical="center"/>
    </xf>
    <xf numFmtId="170" fontId="91" fillId="0" borderId="69" xfId="0" applyNumberFormat="1" applyFont="1" applyFill="1" applyBorder="1" applyAlignment="1">
      <alignment vertical="center"/>
    </xf>
    <xf numFmtId="0" fontId="91" fillId="0" borderId="56" xfId="0" applyFont="1" applyFill="1" applyBorder="1" applyAlignment="1">
      <alignment vertical="center"/>
    </xf>
    <xf numFmtId="49" fontId="91" fillId="0" borderId="64" xfId="0" applyNumberFormat="1" applyFont="1" applyFill="1" applyBorder="1" applyAlignment="1">
      <alignment horizontal="center" vertical="center"/>
    </xf>
    <xf numFmtId="170" fontId="91" fillId="0" borderId="60" xfId="0" applyNumberFormat="1" applyFont="1" applyFill="1" applyBorder="1" applyAlignment="1">
      <alignment vertical="center"/>
    </xf>
    <xf numFmtId="0" fontId="103" fillId="0" borderId="24" xfId="0" applyFont="1" applyFill="1" applyBorder="1" applyAlignment="1">
      <alignment horizontal="left" vertical="center" indent="1"/>
    </xf>
    <xf numFmtId="49" fontId="103" fillId="0" borderId="25" xfId="0" applyNumberFormat="1" applyFont="1" applyFill="1" applyBorder="1" applyAlignment="1">
      <alignment horizontal="left" vertical="center" indent="1"/>
    </xf>
    <xf numFmtId="170" fontId="103" fillId="0" borderId="21" xfId="0" applyNumberFormat="1" applyFont="1" applyFill="1" applyBorder="1" applyAlignment="1">
      <alignment horizontal="left" vertical="center" indent="1"/>
    </xf>
    <xf numFmtId="0" fontId="103" fillId="0" borderId="71" xfId="0" applyFont="1" applyFill="1" applyBorder="1" applyAlignment="1">
      <alignment horizontal="left" vertical="center" indent="1"/>
    </xf>
    <xf numFmtId="49" fontId="103" fillId="0" borderId="38" xfId="0" applyNumberFormat="1" applyFont="1" applyFill="1" applyBorder="1" applyAlignment="1">
      <alignment horizontal="left" vertical="center" indent="1"/>
    </xf>
    <xf numFmtId="170" fontId="103" fillId="0" borderId="27" xfId="0" applyNumberFormat="1" applyFont="1" applyFill="1" applyBorder="1" applyAlignment="1">
      <alignment horizontal="left" vertical="center" indent="1"/>
    </xf>
    <xf numFmtId="0" fontId="91" fillId="0" borderId="61" xfId="3" applyFont="1" applyFill="1" applyBorder="1" applyAlignment="1">
      <alignment horizontal="left" vertical="center" indent="1"/>
    </xf>
    <xf numFmtId="168" fontId="96" fillId="0" borderId="27" xfId="2" applyNumberFormat="1" applyFont="1" applyFill="1" applyBorder="1" applyAlignment="1">
      <alignment horizontal="right" vertical="center"/>
    </xf>
    <xf numFmtId="170" fontId="91" fillId="0" borderId="66" xfId="0" applyNumberFormat="1" applyFont="1" applyFill="1" applyBorder="1" applyAlignment="1">
      <alignment horizontal="right" vertical="center"/>
    </xf>
    <xf numFmtId="170" fontId="91" fillId="0" borderId="53" xfId="2" applyNumberFormat="1" applyFont="1" applyFill="1" applyBorder="1" applyAlignment="1">
      <alignment horizontal="center" vertical="center" wrapText="1"/>
    </xf>
    <xf numFmtId="0" fontId="96" fillId="0" borderId="73" xfId="3" applyFont="1" applyFill="1" applyBorder="1" applyAlignment="1">
      <alignment horizontal="center" vertical="center"/>
    </xf>
    <xf numFmtId="0" fontId="96" fillId="0" borderId="72" xfId="3" applyFont="1" applyFill="1" applyBorder="1" applyAlignment="1">
      <alignment horizontal="left" vertical="center" indent="1"/>
    </xf>
    <xf numFmtId="170" fontId="96" fillId="0" borderId="70" xfId="23" applyNumberFormat="1" applyFont="1" applyFill="1" applyBorder="1" applyAlignment="1">
      <alignment horizontal="right" vertical="center"/>
    </xf>
    <xf numFmtId="0" fontId="91" fillId="0" borderId="62" xfId="10" applyFont="1" applyFill="1" applyBorder="1" applyAlignment="1">
      <alignment horizontal="center" vertical="center" wrapText="1"/>
    </xf>
    <xf numFmtId="0" fontId="91" fillId="0" borderId="74" xfId="10" applyFont="1" applyFill="1" applyBorder="1" applyAlignment="1">
      <alignment horizontal="center" vertical="center" wrapText="1"/>
    </xf>
    <xf numFmtId="0" fontId="91" fillId="0" borderId="75" xfId="10" applyFont="1" applyFill="1" applyBorder="1" applyAlignment="1">
      <alignment horizontal="center" vertical="center" wrapText="1"/>
    </xf>
    <xf numFmtId="168" fontId="91" fillId="0" borderId="53" xfId="2" applyNumberFormat="1" applyFont="1" applyFill="1" applyBorder="1" applyAlignment="1">
      <alignment horizontal="center" vertical="center" wrapText="1"/>
    </xf>
    <xf numFmtId="164" fontId="91" fillId="0" borderId="66" xfId="0" applyNumberFormat="1" applyFont="1" applyFill="1" applyBorder="1" applyAlignment="1">
      <alignment horizontal="right" vertical="center"/>
    </xf>
    <xf numFmtId="0" fontId="100" fillId="0" borderId="58" xfId="10" applyFont="1" applyFill="1" applyBorder="1" applyAlignment="1">
      <alignment horizontal="center" vertical="center" wrapText="1"/>
    </xf>
    <xf numFmtId="0" fontId="91" fillId="0" borderId="74" xfId="0" applyFont="1" applyFill="1" applyBorder="1" applyAlignment="1">
      <alignment horizontal="center" vertical="center" wrapText="1"/>
    </xf>
    <xf numFmtId="0" fontId="91" fillId="0" borderId="75" xfId="0" applyFont="1" applyFill="1" applyBorder="1" applyAlignment="1">
      <alignment horizontal="center" vertical="center" wrapText="1"/>
    </xf>
    <xf numFmtId="0" fontId="96" fillId="0" borderId="0" xfId="0" applyFont="1" applyFill="1" applyAlignment="1">
      <alignment horizontal="left" vertical="center"/>
    </xf>
    <xf numFmtId="0" fontId="91" fillId="15" borderId="62" xfId="0" applyFont="1" applyFill="1" applyBorder="1" applyAlignment="1">
      <alignment horizontal="center" vertical="center" wrapText="1"/>
    </xf>
    <xf numFmtId="170" fontId="96" fillId="9" borderId="0" xfId="0" applyNumberFormat="1" applyFont="1" applyFill="1" applyAlignment="1">
      <alignment vertical="center"/>
    </xf>
    <xf numFmtId="0" fontId="106" fillId="0" borderId="74" xfId="10" applyFont="1" applyFill="1" applyBorder="1" applyAlignment="1">
      <alignment horizontal="center" vertical="center" wrapText="1"/>
    </xf>
    <xf numFmtId="0" fontId="106" fillId="0" borderId="58" xfId="10" applyFont="1" applyFill="1" applyBorder="1" applyAlignment="1">
      <alignment horizontal="center" vertical="center" wrapText="1"/>
    </xf>
    <xf numFmtId="0" fontId="106" fillId="0" borderId="75" xfId="10" applyFont="1" applyFill="1" applyBorder="1" applyAlignment="1">
      <alignment horizontal="center" vertical="center" wrapText="1"/>
    </xf>
    <xf numFmtId="0" fontId="107" fillId="0" borderId="29" xfId="10" applyFont="1" applyFill="1" applyBorder="1" applyAlignment="1">
      <alignment horizontal="left" vertical="center" indent="1"/>
    </xf>
    <xf numFmtId="170" fontId="107" fillId="0" borderId="29" xfId="23" applyNumberFormat="1" applyFont="1" applyFill="1" applyBorder="1" applyAlignment="1">
      <alignment horizontal="right" vertical="center"/>
    </xf>
    <xf numFmtId="168" fontId="107" fillId="0" borderId="29" xfId="2" applyNumberFormat="1" applyFont="1" applyFill="1" applyBorder="1" applyAlignment="1">
      <alignment horizontal="right" vertical="center"/>
    </xf>
    <xf numFmtId="0" fontId="107" fillId="0" borderId="27" xfId="10" applyFont="1" applyFill="1" applyBorder="1" applyAlignment="1">
      <alignment horizontal="left" vertical="center" indent="1"/>
    </xf>
    <xf numFmtId="170" fontId="107" fillId="0" borderId="27" xfId="23" applyNumberFormat="1" applyFont="1" applyFill="1" applyBorder="1" applyAlignment="1">
      <alignment horizontal="right" vertical="center"/>
    </xf>
    <xf numFmtId="168" fontId="107" fillId="0" borderId="27" xfId="2" applyNumberFormat="1" applyFont="1" applyFill="1" applyBorder="1" applyAlignment="1">
      <alignment horizontal="right" vertical="center"/>
    </xf>
    <xf numFmtId="170" fontId="106" fillId="0" borderId="66" xfId="0" applyNumberFormat="1" applyFont="1" applyFill="1" applyBorder="1" applyAlignment="1">
      <alignment horizontal="right" vertical="center"/>
    </xf>
    <xf numFmtId="0" fontId="108" fillId="0" borderId="58" xfId="10" applyFont="1" applyFill="1" applyBorder="1" applyAlignment="1">
      <alignment horizontal="center" vertical="center" wrapText="1"/>
    </xf>
    <xf numFmtId="0" fontId="107" fillId="0" borderId="21" xfId="10" applyFont="1" applyFill="1" applyBorder="1" applyAlignment="1">
      <alignment horizontal="left" vertical="center" indent="1"/>
    </xf>
    <xf numFmtId="170" fontId="107" fillId="0" borderId="21" xfId="23" applyNumberFormat="1" applyFont="1" applyFill="1" applyBorder="1" applyAlignment="1">
      <alignment horizontal="right" vertical="center"/>
    </xf>
    <xf numFmtId="168" fontId="107" fillId="0" borderId="21" xfId="2" applyNumberFormat="1" applyFont="1" applyFill="1" applyBorder="1" applyAlignment="1">
      <alignment horizontal="right" vertical="center"/>
    </xf>
    <xf numFmtId="0" fontId="106" fillId="0" borderId="53" xfId="0" applyFont="1" applyFill="1" applyBorder="1" applyAlignment="1">
      <alignment horizontal="left" vertical="center" wrapText="1"/>
    </xf>
    <xf numFmtId="170" fontId="106" fillId="0" borderId="53" xfId="2" applyNumberFormat="1" applyFont="1" applyFill="1" applyBorder="1" applyAlignment="1">
      <alignment horizontal="center" vertical="center" wrapText="1"/>
    </xf>
    <xf numFmtId="172" fontId="107" fillId="9" borderId="21" xfId="23" applyNumberFormat="1" applyFont="1" applyFill="1" applyBorder="1" applyAlignment="1">
      <alignment horizontal="right" vertical="center"/>
    </xf>
    <xf numFmtId="170" fontId="96" fillId="0" borderId="63" xfId="0" applyNumberFormat="1" applyFont="1" applyFill="1" applyBorder="1" applyAlignment="1">
      <alignment horizontal="left"/>
    </xf>
    <xf numFmtId="0" fontId="91" fillId="15" borderId="61" xfId="3" applyFont="1" applyFill="1" applyBorder="1" applyAlignment="1">
      <alignment horizontal="left" vertical="center" indent="1"/>
    </xf>
    <xf numFmtId="0" fontId="96" fillId="0" borderId="0" xfId="0" applyFont="1" applyFill="1" applyAlignment="1">
      <alignment horizontal="left" vertical="center"/>
    </xf>
    <xf numFmtId="170" fontId="104" fillId="0" borderId="26" xfId="8" applyNumberFormat="1" applyFont="1" applyFill="1" applyBorder="1" applyAlignment="1">
      <alignment horizontal="center" vertical="center"/>
    </xf>
    <xf numFmtId="166" fontId="96" fillId="0" borderId="0" xfId="0" applyNumberFormat="1" applyFont="1" applyBorder="1"/>
    <xf numFmtId="0" fontId="96" fillId="0" borderId="0" xfId="0" applyFont="1" applyFill="1" applyAlignment="1">
      <alignment horizontal="left" vertical="center"/>
    </xf>
    <xf numFmtId="43" fontId="96" fillId="0" borderId="0" xfId="2" applyFont="1" applyFill="1" applyBorder="1"/>
    <xf numFmtId="166" fontId="96" fillId="0" borderId="0" xfId="0" applyNumberFormat="1" applyFont="1" applyFill="1" applyBorder="1"/>
    <xf numFmtId="170" fontId="96" fillId="0" borderId="63" xfId="0" applyNumberFormat="1" applyFont="1" applyFill="1" applyBorder="1" applyAlignment="1">
      <alignment horizontal="center"/>
    </xf>
    <xf numFmtId="0" fontId="96" fillId="0" borderId="0" xfId="0" applyFont="1" applyFill="1" applyAlignment="1">
      <alignment horizontal="left" vertical="center"/>
    </xf>
    <xf numFmtId="49" fontId="91" fillId="15" borderId="25" xfId="0" applyNumberFormat="1" applyFont="1" applyFill="1" applyBorder="1" applyAlignment="1">
      <alignment horizontal="left" vertical="center" indent="1"/>
    </xf>
    <xf numFmtId="49" fontId="96" fillId="15" borderId="25" xfId="0" applyNumberFormat="1" applyFont="1" applyFill="1" applyBorder="1" applyAlignment="1">
      <alignment horizontal="left" vertical="center" indent="2"/>
    </xf>
    <xf numFmtId="49" fontId="96" fillId="15" borderId="25" xfId="0" applyNumberFormat="1" applyFont="1" applyFill="1" applyBorder="1" applyAlignment="1">
      <alignment horizontal="left" vertical="center" indent="3"/>
    </xf>
    <xf numFmtId="49" fontId="103" fillId="15" borderId="25" xfId="0" applyNumberFormat="1" applyFont="1" applyFill="1" applyBorder="1" applyAlignment="1">
      <alignment horizontal="left" vertical="center" indent="1"/>
    </xf>
    <xf numFmtId="49" fontId="91" fillId="15" borderId="76" xfId="0" applyNumberFormat="1" applyFont="1" applyFill="1" applyBorder="1" applyAlignment="1">
      <alignment horizontal="left" vertical="center"/>
    </xf>
    <xf numFmtId="49" fontId="91" fillId="15" borderId="25" xfId="0" applyNumberFormat="1" applyFont="1" applyFill="1" applyBorder="1" applyAlignment="1">
      <alignment horizontal="left" vertical="center"/>
    </xf>
    <xf numFmtId="49" fontId="96" fillId="15" borderId="25" xfId="0" applyNumberFormat="1" applyFont="1" applyFill="1" applyBorder="1" applyAlignment="1">
      <alignment horizontal="left" vertical="center"/>
    </xf>
    <xf numFmtId="49" fontId="91" fillId="15" borderId="72" xfId="0" applyNumberFormat="1" applyFont="1" applyFill="1" applyBorder="1" applyAlignment="1">
      <alignment horizontal="left" vertical="center"/>
    </xf>
    <xf numFmtId="0" fontId="96" fillId="0" borderId="0" xfId="0" applyFont="1" applyFill="1" applyBorder="1" applyAlignment="1">
      <alignment horizontal="left"/>
    </xf>
    <xf numFmtId="0" fontId="92" fillId="0" borderId="0" xfId="0" applyFont="1" applyBorder="1" applyAlignment="1">
      <alignment horizontal="left"/>
    </xf>
    <xf numFmtId="170" fontId="96" fillId="0" borderId="0" xfId="0" applyNumberFormat="1" applyFont="1" applyFill="1" applyAlignment="1">
      <alignment horizontal="center"/>
    </xf>
    <xf numFmtId="43" fontId="106" fillId="0" borderId="66" xfId="2" applyFont="1" applyFill="1" applyBorder="1" applyAlignment="1">
      <alignment horizontal="right" vertical="center"/>
    </xf>
    <xf numFmtId="43" fontId="107" fillId="0" borderId="29" xfId="2" applyFont="1" applyFill="1" applyBorder="1" applyAlignment="1">
      <alignment horizontal="right" vertical="center"/>
    </xf>
    <xf numFmtId="0" fontId="96" fillId="15" borderId="24" xfId="3" applyFont="1" applyFill="1" applyBorder="1" applyAlignment="1">
      <alignment horizontal="left" vertical="center"/>
    </xf>
    <xf numFmtId="0" fontId="96" fillId="0" borderId="71" xfId="0" applyFont="1" applyFill="1" applyBorder="1" applyAlignment="1">
      <alignment horizontal="left" vertical="center" indent="1"/>
    </xf>
    <xf numFmtId="49" fontId="91" fillId="15" borderId="33" xfId="20" applyNumberFormat="1" applyFont="1" applyFill="1" applyBorder="1" applyAlignment="1">
      <alignment horizontal="center" vertical="center"/>
    </xf>
    <xf numFmtId="0" fontId="91" fillId="15" borderId="25" xfId="3" applyFont="1" applyFill="1" applyBorder="1" applyAlignment="1">
      <alignment horizontal="left" vertical="center"/>
    </xf>
    <xf numFmtId="49" fontId="91" fillId="15" borderId="25" xfId="20" applyNumberFormat="1" applyFont="1" applyFill="1" applyBorder="1" applyAlignment="1">
      <alignment horizontal="center" vertical="center"/>
    </xf>
    <xf numFmtId="0" fontId="91" fillId="15" borderId="25" xfId="3" applyFont="1" applyFill="1" applyBorder="1" applyAlignment="1">
      <alignment horizontal="left" vertical="center" indent="1"/>
    </xf>
    <xf numFmtId="0" fontId="91" fillId="15" borderId="72" xfId="3" applyFont="1" applyFill="1" applyBorder="1" applyAlignment="1">
      <alignment horizontal="left" vertical="center" indent="1"/>
    </xf>
    <xf numFmtId="0" fontId="96" fillId="0" borderId="63" xfId="0" applyFont="1" applyBorder="1" applyAlignment="1">
      <alignment wrapText="1"/>
    </xf>
    <xf numFmtId="0" fontId="96" fillId="0" borderId="0" xfId="0" applyFont="1" applyBorder="1" applyAlignment="1">
      <alignment wrapText="1"/>
    </xf>
    <xf numFmtId="0" fontId="96" fillId="8" borderId="63" xfId="0" applyFont="1" applyFill="1" applyBorder="1" applyAlignment="1">
      <alignment vertical="center"/>
    </xf>
    <xf numFmtId="0" fontId="96" fillId="0" borderId="54" xfId="0" applyFont="1" applyFill="1" applyBorder="1" applyAlignment="1">
      <alignment vertical="center"/>
    </xf>
    <xf numFmtId="0" fontId="96" fillId="0" borderId="54" xfId="0" applyFont="1" applyFill="1" applyBorder="1" applyAlignment="1">
      <alignment horizontal="left" vertical="center"/>
    </xf>
    <xf numFmtId="0" fontId="114" fillId="0" borderId="0" xfId="925" applyFont="1" applyAlignment="1">
      <alignment horizontal="center" vertical="center"/>
    </xf>
    <xf numFmtId="0" fontId="114" fillId="0" borderId="0" xfId="925" applyFont="1" applyAlignment="1">
      <alignment vertical="center"/>
    </xf>
    <xf numFmtId="0" fontId="115" fillId="0" borderId="0" xfId="3" applyFont="1" applyAlignment="1">
      <alignment horizontal="center" vertical="center"/>
    </xf>
    <xf numFmtId="0" fontId="117" fillId="0" borderId="0" xfId="3" applyFont="1" applyAlignment="1">
      <alignment horizontal="center" vertical="center"/>
    </xf>
    <xf numFmtId="4" fontId="115" fillId="0" borderId="0" xfId="3" applyNumberFormat="1" applyFont="1" applyAlignment="1">
      <alignment horizontal="center" vertical="center"/>
    </xf>
    <xf numFmtId="0" fontId="114" fillId="0" borderId="0" xfId="3" applyFont="1" applyAlignment="1">
      <alignment horizontal="center" vertical="center"/>
    </xf>
    <xf numFmtId="0" fontId="118" fillId="0" borderId="0" xfId="3" applyFont="1" applyAlignment="1">
      <alignment horizontal="center" vertical="center"/>
    </xf>
    <xf numFmtId="0" fontId="114" fillId="0" borderId="21" xfId="925" applyFont="1" applyBorder="1" applyAlignment="1">
      <alignment vertical="center"/>
    </xf>
    <xf numFmtId="0" fontId="116" fillId="0" borderId="0" xfId="925" applyFont="1" applyAlignment="1">
      <alignment vertical="center"/>
    </xf>
    <xf numFmtId="0" fontId="119" fillId="0" borderId="21" xfId="925" applyFont="1" applyBorder="1" applyAlignment="1">
      <alignment vertical="center"/>
    </xf>
    <xf numFmtId="0" fontId="119" fillId="0" borderId="0" xfId="925" applyFont="1" applyAlignment="1">
      <alignment vertical="center"/>
    </xf>
    <xf numFmtId="0" fontId="111" fillId="0" borderId="24" xfId="925" applyFont="1" applyFill="1" applyBorder="1" applyAlignment="1">
      <alignment vertical="center"/>
    </xf>
    <xf numFmtId="0" fontId="111" fillId="0" borderId="25" xfId="925" applyFont="1" applyFill="1" applyBorder="1" applyAlignment="1">
      <alignment vertical="center"/>
    </xf>
    <xf numFmtId="0" fontId="111" fillId="0" borderId="25" xfId="925" applyFont="1" applyFill="1" applyBorder="1" applyAlignment="1">
      <alignment horizontal="center" vertical="center"/>
    </xf>
    <xf numFmtId="170" fontId="111" fillId="0" borderId="25" xfId="925" applyNumberFormat="1" applyFont="1" applyFill="1" applyBorder="1" applyAlignment="1">
      <alignment vertical="center"/>
    </xf>
    <xf numFmtId="170" fontId="111" fillId="0" borderId="26" xfId="925" applyNumberFormat="1" applyFont="1" applyFill="1" applyBorder="1" applyAlignment="1">
      <alignment vertical="center"/>
    </xf>
    <xf numFmtId="0" fontId="111" fillId="0" borderId="25" xfId="925" applyFont="1" applyFill="1" applyBorder="1" applyAlignment="1">
      <alignment horizontal="left" vertical="center" indent="1"/>
    </xf>
    <xf numFmtId="0" fontId="111" fillId="0" borderId="25" xfId="3" applyFont="1" applyFill="1" applyBorder="1" applyAlignment="1">
      <alignment horizontal="left" vertical="center" indent="2"/>
    </xf>
    <xf numFmtId="0" fontId="111" fillId="0" borderId="25" xfId="925" applyFont="1" applyFill="1" applyBorder="1" applyAlignment="1">
      <alignment horizontal="left" vertical="center" indent="2"/>
    </xf>
    <xf numFmtId="0" fontId="111" fillId="8" borderId="0" xfId="925" applyFont="1" applyFill="1"/>
    <xf numFmtId="0" fontId="111" fillId="0" borderId="0" xfId="925" applyFont="1" applyAlignment="1">
      <alignment vertical="center"/>
    </xf>
    <xf numFmtId="0" fontId="111" fillId="0" borderId="0" xfId="925" applyFont="1" applyAlignment="1">
      <alignment horizontal="center" vertical="center"/>
    </xf>
    <xf numFmtId="0" fontId="111" fillId="0" borderId="30" xfId="925" applyFont="1" applyFill="1" applyBorder="1" applyAlignment="1">
      <alignment vertical="center"/>
    </xf>
    <xf numFmtId="0" fontId="111" fillId="0" borderId="33" xfId="925" applyFont="1" applyFill="1" applyBorder="1" applyAlignment="1">
      <alignment vertical="center"/>
    </xf>
    <xf numFmtId="0" fontId="111" fillId="0" borderId="33" xfId="925" applyFont="1" applyFill="1" applyBorder="1" applyAlignment="1">
      <alignment horizontal="center" vertical="center"/>
    </xf>
    <xf numFmtId="170" fontId="111" fillId="0" borderId="33" xfId="925" applyNumberFormat="1" applyFont="1" applyFill="1" applyBorder="1" applyAlignment="1">
      <alignment vertical="center"/>
    </xf>
    <xf numFmtId="170" fontId="111" fillId="0" borderId="31" xfId="925" applyNumberFormat="1" applyFont="1" applyFill="1" applyBorder="1" applyAlignment="1">
      <alignment vertical="center"/>
    </xf>
    <xf numFmtId="0" fontId="112" fillId="0" borderId="61" xfId="925" applyFont="1" applyFill="1" applyBorder="1" applyAlignment="1">
      <alignment horizontal="right" vertical="center"/>
    </xf>
    <xf numFmtId="170" fontId="112" fillId="0" borderId="53" xfId="925" quotePrefix="1" applyNumberFormat="1" applyFont="1" applyFill="1" applyBorder="1" applyAlignment="1">
      <alignment vertical="center"/>
    </xf>
    <xf numFmtId="170" fontId="112" fillId="0" borderId="62" xfId="925" quotePrefix="1" applyNumberFormat="1" applyFont="1" applyFill="1" applyBorder="1" applyAlignment="1">
      <alignment vertical="center"/>
    </xf>
    <xf numFmtId="0" fontId="111" fillId="0" borderId="71" xfId="925" applyFont="1" applyFill="1" applyBorder="1" applyAlignment="1">
      <alignment vertical="center"/>
    </xf>
    <xf numFmtId="0" fontId="111" fillId="0" borderId="38" xfId="925" applyFont="1" applyFill="1" applyBorder="1" applyAlignment="1">
      <alignment horizontal="left" vertical="center" indent="2"/>
    </xf>
    <xf numFmtId="0" fontId="111" fillId="0" borderId="38" xfId="925" applyFont="1" applyFill="1" applyBorder="1" applyAlignment="1">
      <alignment vertical="center"/>
    </xf>
    <xf numFmtId="0" fontId="111" fillId="0" borderId="38" xfId="925" applyFont="1" applyFill="1" applyBorder="1" applyAlignment="1">
      <alignment horizontal="center" vertical="center"/>
    </xf>
    <xf numFmtId="170" fontId="111" fillId="0" borderId="38" xfId="925" applyNumberFormat="1" applyFont="1" applyFill="1" applyBorder="1" applyAlignment="1">
      <alignment vertical="center"/>
    </xf>
    <xf numFmtId="170" fontId="111" fillId="0" borderId="32" xfId="925" applyNumberFormat="1" applyFont="1" applyFill="1" applyBorder="1" applyAlignment="1">
      <alignment vertical="center"/>
    </xf>
    <xf numFmtId="0" fontId="111" fillId="0" borderId="69" xfId="925" applyFont="1" applyFill="1" applyBorder="1" applyAlignment="1">
      <alignment vertical="center"/>
    </xf>
    <xf numFmtId="0" fontId="111" fillId="0" borderId="69" xfId="925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14" fontId="91" fillId="0" borderId="59" xfId="5" quotePrefix="1" applyNumberFormat="1" applyFont="1" applyFill="1" applyBorder="1" applyAlignment="1">
      <alignment horizontal="center" vertical="center"/>
    </xf>
    <xf numFmtId="14" fontId="91" fillId="0" borderId="60" xfId="5" quotePrefix="1" applyNumberFormat="1" applyFont="1" applyFill="1" applyBorder="1" applyAlignment="1">
      <alignment horizontal="center" vertical="center"/>
    </xf>
    <xf numFmtId="0" fontId="91" fillId="0" borderId="54" xfId="0" applyFont="1" applyFill="1" applyBorder="1" applyAlignment="1">
      <alignment horizontal="center" vertical="center"/>
    </xf>
    <xf numFmtId="0" fontId="91" fillId="0" borderId="55" xfId="0" applyFont="1" applyFill="1" applyBorder="1" applyAlignment="1">
      <alignment horizontal="center" vertical="center"/>
    </xf>
    <xf numFmtId="0" fontId="91" fillId="0" borderId="56" xfId="0" applyFont="1" applyFill="1" applyBorder="1" applyAlignment="1">
      <alignment horizontal="center" vertical="center"/>
    </xf>
    <xf numFmtId="0" fontId="91" fillId="0" borderId="57" xfId="0" applyFont="1" applyFill="1" applyBorder="1" applyAlignment="1">
      <alignment horizontal="center" vertical="center"/>
    </xf>
    <xf numFmtId="0" fontId="91" fillId="0" borderId="59" xfId="5" quotePrefix="1" applyNumberFormat="1" applyFont="1" applyFill="1" applyBorder="1" applyAlignment="1">
      <alignment horizontal="center" vertical="center"/>
    </xf>
    <xf numFmtId="0" fontId="91" fillId="0" borderId="60" xfId="5" quotePrefix="1" applyNumberFormat="1" applyFont="1" applyFill="1" applyBorder="1" applyAlignment="1">
      <alignment horizontal="center" vertical="center"/>
    </xf>
    <xf numFmtId="164" fontId="91" fillId="0" borderId="54" xfId="0" applyNumberFormat="1" applyFont="1" applyFill="1" applyBorder="1" applyAlignment="1">
      <alignment horizontal="center" vertical="center"/>
    </xf>
    <xf numFmtId="164" fontId="91" fillId="0" borderId="55" xfId="0" applyNumberFormat="1" applyFont="1" applyFill="1" applyBorder="1" applyAlignment="1">
      <alignment horizontal="center" vertical="center"/>
    </xf>
    <xf numFmtId="164" fontId="91" fillId="0" borderId="56" xfId="0" applyNumberFormat="1" applyFont="1" applyFill="1" applyBorder="1" applyAlignment="1">
      <alignment horizontal="center" vertical="center"/>
    </xf>
    <xf numFmtId="164" fontId="91" fillId="0" borderId="57" xfId="0" applyNumberFormat="1" applyFont="1" applyFill="1" applyBorder="1" applyAlignment="1">
      <alignment horizontal="center" vertical="center"/>
    </xf>
    <xf numFmtId="168" fontId="42" fillId="13" borderId="8" xfId="4" quotePrefix="1" applyNumberFormat="1" applyFont="1" applyFill="1" applyBorder="1" applyAlignment="1"/>
    <xf numFmtId="168" fontId="42" fillId="13" borderId="23" xfId="4" quotePrefix="1" applyNumberFormat="1" applyFont="1" applyFill="1" applyBorder="1" applyAlignment="1"/>
    <xf numFmtId="17" fontId="61" fillId="10" borderId="22" xfId="0" quotePrefix="1" applyNumberFormat="1" applyFont="1" applyFill="1" applyBorder="1" applyAlignment="1">
      <alignment horizontal="center"/>
    </xf>
    <xf numFmtId="17" fontId="61" fillId="10" borderId="13" xfId="0" quotePrefix="1" applyNumberFormat="1" applyFont="1" applyFill="1" applyBorder="1" applyAlignment="1">
      <alignment horizontal="center"/>
    </xf>
    <xf numFmtId="171" fontId="112" fillId="0" borderId="53" xfId="925" applyNumberFormat="1" applyFont="1" applyFill="1" applyBorder="1" applyAlignment="1">
      <alignment horizontal="left" vertical="center"/>
    </xf>
    <xf numFmtId="0" fontId="112" fillId="0" borderId="58" xfId="925" applyFont="1" applyFill="1" applyBorder="1" applyAlignment="1">
      <alignment horizontal="center" vertical="center" wrapText="1"/>
    </xf>
    <xf numFmtId="0" fontId="113" fillId="0" borderId="61" xfId="925" applyFont="1" applyFill="1" applyBorder="1" applyAlignment="1">
      <alignment horizontal="center" vertical="center" wrapText="1"/>
    </xf>
    <xf numFmtId="0" fontId="113" fillId="0" borderId="53" xfId="925" applyFont="1" applyFill="1" applyBorder="1" applyAlignment="1">
      <alignment horizontal="center" vertical="center" wrapText="1"/>
    </xf>
    <xf numFmtId="0" fontId="113" fillId="0" borderId="62" xfId="925" applyFont="1" applyFill="1" applyBorder="1" applyAlignment="1">
      <alignment horizontal="center" vertical="center" wrapText="1"/>
    </xf>
    <xf numFmtId="164" fontId="91" fillId="0" borderId="63" xfId="0" applyNumberFormat="1" applyFont="1" applyFill="1" applyBorder="1" applyAlignment="1">
      <alignment horizontal="center" vertical="center"/>
    </xf>
    <xf numFmtId="164" fontId="91" fillId="0" borderId="64" xfId="0" applyNumberFormat="1" applyFont="1" applyFill="1" applyBorder="1" applyAlignment="1">
      <alignment horizontal="center" vertical="center"/>
    </xf>
    <xf numFmtId="0" fontId="91" fillId="0" borderId="54" xfId="20" applyFont="1" applyFill="1" applyBorder="1" applyAlignment="1">
      <alignment horizontal="center" vertical="center"/>
    </xf>
    <xf numFmtId="0" fontId="91" fillId="0" borderId="63" xfId="20" applyFont="1" applyFill="1" applyBorder="1" applyAlignment="1">
      <alignment horizontal="center" vertical="center"/>
    </xf>
    <xf numFmtId="0" fontId="91" fillId="0" borderId="55" xfId="20" applyFont="1" applyFill="1" applyBorder="1" applyAlignment="1">
      <alignment horizontal="center" vertical="center"/>
    </xf>
    <xf numFmtId="0" fontId="91" fillId="0" borderId="56" xfId="20" applyFont="1" applyFill="1" applyBorder="1" applyAlignment="1">
      <alignment horizontal="center" vertical="center"/>
    </xf>
    <xf numFmtId="0" fontId="91" fillId="0" borderId="64" xfId="20" applyFont="1" applyFill="1" applyBorder="1" applyAlignment="1">
      <alignment horizontal="center" vertical="center"/>
    </xf>
    <xf numFmtId="0" fontId="91" fillId="0" borderId="57" xfId="20" applyFont="1" applyFill="1" applyBorder="1" applyAlignment="1">
      <alignment horizontal="center" vertical="center"/>
    </xf>
    <xf numFmtId="0" fontId="91" fillId="0" borderId="67" xfId="0" applyFont="1" applyFill="1" applyBorder="1" applyAlignment="1">
      <alignment horizontal="center" vertical="center" wrapText="1"/>
    </xf>
    <xf numFmtId="0" fontId="91" fillId="0" borderId="53" xfId="0" applyFont="1" applyFill="1" applyBorder="1" applyAlignment="1">
      <alignment horizontal="center" vertical="center" wrapText="1"/>
    </xf>
    <xf numFmtId="0" fontId="91" fillId="0" borderId="68" xfId="0" applyFont="1" applyFill="1" applyBorder="1" applyAlignment="1">
      <alignment horizontal="center" vertical="center" wrapText="1"/>
    </xf>
    <xf numFmtId="14" fontId="91" fillId="0" borderId="67" xfId="0" quotePrefix="1" applyNumberFormat="1" applyFont="1" applyFill="1" applyBorder="1" applyAlignment="1">
      <alignment horizontal="center" vertical="center" wrapText="1"/>
    </xf>
    <xf numFmtId="14" fontId="106" fillId="0" borderId="67" xfId="0" quotePrefix="1" applyNumberFormat="1" applyFont="1" applyFill="1" applyBorder="1" applyAlignment="1">
      <alignment horizontal="center" vertical="center" wrapText="1"/>
    </xf>
    <xf numFmtId="0" fontId="106" fillId="0" borderId="53" xfId="0" applyFont="1" applyFill="1" applyBorder="1" applyAlignment="1">
      <alignment horizontal="center" vertical="center" wrapText="1"/>
    </xf>
    <xf numFmtId="0" fontId="106" fillId="0" borderId="68" xfId="0" applyFont="1" applyFill="1" applyBorder="1" applyAlignment="1">
      <alignment horizontal="center" vertical="center" wrapText="1"/>
    </xf>
    <xf numFmtId="0" fontId="106" fillId="0" borderId="77" xfId="10" applyFont="1" applyFill="1" applyBorder="1" applyAlignment="1">
      <alignment horizontal="center" vertical="center" wrapText="1"/>
    </xf>
    <xf numFmtId="0" fontId="106" fillId="0" borderId="78" xfId="1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46" fillId="6" borderId="6" xfId="0" applyFont="1" applyFill="1" applyBorder="1" applyAlignment="1">
      <alignment horizontal="center"/>
    </xf>
    <xf numFmtId="170" fontId="91" fillId="0" borderId="29" xfId="931" applyNumberFormat="1" applyFont="1" applyFill="1" applyBorder="1" applyAlignment="1">
      <alignment horizontal="right" vertical="center"/>
    </xf>
    <xf numFmtId="170" fontId="91" fillId="0" borderId="27" xfId="3" applyNumberFormat="1" applyFont="1" applyFill="1" applyBorder="1" applyAlignment="1">
      <alignment vertical="center"/>
    </xf>
  </cellXfs>
  <cellStyles count="1117">
    <cellStyle name="Accent1 - 20%" xfId="27" xr:uid="{00000000-0005-0000-0000-000048000000}"/>
    <cellStyle name="Accent1 - 40%" xfId="28" xr:uid="{00000000-0005-0000-0000-000049000000}"/>
    <cellStyle name="Accent1 - 60%" xfId="29" xr:uid="{00000000-0005-0000-0000-00004A000000}"/>
    <cellStyle name="Accent2 - 20%" xfId="30" xr:uid="{00000000-0005-0000-0000-00004B000000}"/>
    <cellStyle name="Accent2 - 40%" xfId="31" xr:uid="{00000000-0005-0000-0000-00004C000000}"/>
    <cellStyle name="Accent2 - 60%" xfId="32" xr:uid="{00000000-0005-0000-0000-00004D000000}"/>
    <cellStyle name="Accent3 - 20%" xfId="33" xr:uid="{00000000-0005-0000-0000-00004E000000}"/>
    <cellStyle name="Accent3 - 40%" xfId="34" xr:uid="{00000000-0005-0000-0000-00004F000000}"/>
    <cellStyle name="Accent3 - 60%" xfId="35" xr:uid="{00000000-0005-0000-0000-000050000000}"/>
    <cellStyle name="Accent4 - 20%" xfId="36" xr:uid="{00000000-0005-0000-0000-000051000000}"/>
    <cellStyle name="Accent4 - 40%" xfId="37" xr:uid="{00000000-0005-0000-0000-000052000000}"/>
    <cellStyle name="Accent4 - 60%" xfId="38" xr:uid="{00000000-0005-0000-0000-000053000000}"/>
    <cellStyle name="Accent5 - 20%" xfId="39" xr:uid="{00000000-0005-0000-0000-000054000000}"/>
    <cellStyle name="Accent5 - 40%" xfId="40" xr:uid="{00000000-0005-0000-0000-000055000000}"/>
    <cellStyle name="Accent5 - 60%" xfId="41" xr:uid="{00000000-0005-0000-0000-000056000000}"/>
    <cellStyle name="Accent6 - 20%" xfId="42" xr:uid="{00000000-0005-0000-0000-000057000000}"/>
    <cellStyle name="Accent6 - 40%" xfId="43" xr:uid="{00000000-0005-0000-0000-000058000000}"/>
    <cellStyle name="Accent6 - 60%" xfId="44" xr:uid="{00000000-0005-0000-0000-000059000000}"/>
    <cellStyle name="Bom 2" xfId="45" xr:uid="{00000000-0005-0000-0000-00005A000000}"/>
    <cellStyle name="Bom 2 2" xfId="46" xr:uid="{00000000-0005-0000-0000-00005B000000}"/>
    <cellStyle name="Bom 2 3" xfId="47" xr:uid="{00000000-0005-0000-0000-00005C000000}"/>
    <cellStyle name="Bom 2 4" xfId="48" xr:uid="{00000000-0005-0000-0000-00005D000000}"/>
    <cellStyle name="Bom 2 5" xfId="49" xr:uid="{00000000-0005-0000-0000-00005E000000}"/>
    <cellStyle name="Bom 2 6" xfId="50" xr:uid="{00000000-0005-0000-0000-00005F000000}"/>
    <cellStyle name="Bom 3" xfId="51" xr:uid="{00000000-0005-0000-0000-000060000000}"/>
    <cellStyle name="Bom 3 2" xfId="52" xr:uid="{00000000-0005-0000-0000-000061000000}"/>
    <cellStyle name="Bom 3 3" xfId="53" xr:uid="{00000000-0005-0000-0000-000062000000}"/>
    <cellStyle name="Bom 3 4" xfId="54" xr:uid="{00000000-0005-0000-0000-000063000000}"/>
    <cellStyle name="Bom 3 5" xfId="55" xr:uid="{00000000-0005-0000-0000-000064000000}"/>
    <cellStyle name="Bom 3 6" xfId="56" xr:uid="{00000000-0005-0000-0000-000065000000}"/>
    <cellStyle name="Bom 4" xfId="57" xr:uid="{00000000-0005-0000-0000-000066000000}"/>
    <cellStyle name="Bom 4 2" xfId="58" xr:uid="{00000000-0005-0000-0000-000067000000}"/>
    <cellStyle name="Bom 4 3" xfId="59" xr:uid="{00000000-0005-0000-0000-000068000000}"/>
    <cellStyle name="Bom 4 4" xfId="60" xr:uid="{00000000-0005-0000-0000-000069000000}"/>
    <cellStyle name="Bom 4 5" xfId="61" xr:uid="{00000000-0005-0000-0000-00006A000000}"/>
    <cellStyle name="Bom 4 6" xfId="62" xr:uid="{00000000-0005-0000-0000-00006B000000}"/>
    <cellStyle name="Bom 5" xfId="63" xr:uid="{00000000-0005-0000-0000-00006C000000}"/>
    <cellStyle name="Bom 5 2" xfId="64" xr:uid="{00000000-0005-0000-0000-00006D000000}"/>
    <cellStyle name="Bom 5 3" xfId="65" xr:uid="{00000000-0005-0000-0000-00006E000000}"/>
    <cellStyle name="Bom 5 4" xfId="66" xr:uid="{00000000-0005-0000-0000-00006F000000}"/>
    <cellStyle name="Bom 5 5" xfId="67" xr:uid="{00000000-0005-0000-0000-000070000000}"/>
    <cellStyle name="Bom 5 6" xfId="68" xr:uid="{00000000-0005-0000-0000-000071000000}"/>
    <cellStyle name="Cálculo 2" xfId="69" xr:uid="{00000000-0005-0000-0000-000072000000}"/>
    <cellStyle name="Cálculo 2 2" xfId="70" xr:uid="{00000000-0005-0000-0000-000073000000}"/>
    <cellStyle name="Cálculo 2 3" xfId="71" xr:uid="{00000000-0005-0000-0000-000074000000}"/>
    <cellStyle name="Cálculo 2 4" xfId="72" xr:uid="{00000000-0005-0000-0000-000075000000}"/>
    <cellStyle name="Cálculo 2 5" xfId="73" xr:uid="{00000000-0005-0000-0000-000076000000}"/>
    <cellStyle name="Cálculo 2 6" xfId="74" xr:uid="{00000000-0005-0000-0000-000077000000}"/>
    <cellStyle name="Cálculo 3" xfId="75" xr:uid="{00000000-0005-0000-0000-000078000000}"/>
    <cellStyle name="Cálculo 3 2" xfId="76" xr:uid="{00000000-0005-0000-0000-000079000000}"/>
    <cellStyle name="Cálculo 3 3" xfId="77" xr:uid="{00000000-0005-0000-0000-00007A000000}"/>
    <cellStyle name="Cálculo 3 4" xfId="78" xr:uid="{00000000-0005-0000-0000-00007B000000}"/>
    <cellStyle name="Cálculo 3 5" xfId="79" xr:uid="{00000000-0005-0000-0000-00007C000000}"/>
    <cellStyle name="Cálculo 3 6" xfId="80" xr:uid="{00000000-0005-0000-0000-00007D000000}"/>
    <cellStyle name="Cálculo 4" xfId="81" xr:uid="{00000000-0005-0000-0000-00007E000000}"/>
    <cellStyle name="Cálculo 4 2" xfId="82" xr:uid="{00000000-0005-0000-0000-00007F000000}"/>
    <cellStyle name="Cálculo 4 3" xfId="83" xr:uid="{00000000-0005-0000-0000-000080000000}"/>
    <cellStyle name="Cálculo 4 4" xfId="84" xr:uid="{00000000-0005-0000-0000-000081000000}"/>
    <cellStyle name="Cálculo 4 5" xfId="85" xr:uid="{00000000-0005-0000-0000-000082000000}"/>
    <cellStyle name="Cálculo 4 6" xfId="86" xr:uid="{00000000-0005-0000-0000-000083000000}"/>
    <cellStyle name="Cálculo 5" xfId="87" xr:uid="{00000000-0005-0000-0000-000084000000}"/>
    <cellStyle name="Cálculo 5 2" xfId="88" xr:uid="{00000000-0005-0000-0000-000085000000}"/>
    <cellStyle name="Cálculo 5 3" xfId="89" xr:uid="{00000000-0005-0000-0000-000086000000}"/>
    <cellStyle name="Cálculo 5 4" xfId="90" xr:uid="{00000000-0005-0000-0000-000087000000}"/>
    <cellStyle name="Cálculo 5 5" xfId="91" xr:uid="{00000000-0005-0000-0000-000088000000}"/>
    <cellStyle name="Cálculo 5 6" xfId="92" xr:uid="{00000000-0005-0000-0000-000089000000}"/>
    <cellStyle name="Célula de Verificação 2" xfId="93" xr:uid="{00000000-0005-0000-0000-00008A000000}"/>
    <cellStyle name="Célula de Verificação 2 2" xfId="94" xr:uid="{00000000-0005-0000-0000-00008B000000}"/>
    <cellStyle name="Célula de Verificação 2 3" xfId="95" xr:uid="{00000000-0005-0000-0000-00008C000000}"/>
    <cellStyle name="Célula de Verificação 2 4" xfId="96" xr:uid="{00000000-0005-0000-0000-00008D000000}"/>
    <cellStyle name="Célula de Verificação 2 5" xfId="97" xr:uid="{00000000-0005-0000-0000-00008E000000}"/>
    <cellStyle name="Célula de Verificação 2 6" xfId="98" xr:uid="{00000000-0005-0000-0000-00008F000000}"/>
    <cellStyle name="Célula de Verificação 3" xfId="99" xr:uid="{00000000-0005-0000-0000-000090000000}"/>
    <cellStyle name="Célula de Verificação 3 2" xfId="100" xr:uid="{00000000-0005-0000-0000-000091000000}"/>
    <cellStyle name="Célula de Verificação 3 3" xfId="101" xr:uid="{00000000-0005-0000-0000-000092000000}"/>
    <cellStyle name="Célula de Verificação 3 4" xfId="102" xr:uid="{00000000-0005-0000-0000-000093000000}"/>
    <cellStyle name="Célula de Verificação 3 5" xfId="103" xr:uid="{00000000-0005-0000-0000-000094000000}"/>
    <cellStyle name="Célula de Verificação 3 6" xfId="104" xr:uid="{00000000-0005-0000-0000-000095000000}"/>
    <cellStyle name="Célula de Verificação 4" xfId="105" xr:uid="{00000000-0005-0000-0000-000096000000}"/>
    <cellStyle name="Célula de Verificação 4 2" xfId="106" xr:uid="{00000000-0005-0000-0000-000097000000}"/>
    <cellStyle name="Célula de Verificação 4 3" xfId="107" xr:uid="{00000000-0005-0000-0000-000098000000}"/>
    <cellStyle name="Célula de Verificação 4 4" xfId="108" xr:uid="{00000000-0005-0000-0000-000099000000}"/>
    <cellStyle name="Célula de Verificação 4 5" xfId="109" xr:uid="{00000000-0005-0000-0000-00009A000000}"/>
    <cellStyle name="Célula de Verificação 4 6" xfId="110" xr:uid="{00000000-0005-0000-0000-00009B000000}"/>
    <cellStyle name="Célula de Verificação 5" xfId="111" xr:uid="{00000000-0005-0000-0000-00009C000000}"/>
    <cellStyle name="Célula de Verificação 5 2" xfId="112" xr:uid="{00000000-0005-0000-0000-00009D000000}"/>
    <cellStyle name="Célula de Verificação 5 3" xfId="113" xr:uid="{00000000-0005-0000-0000-00009E000000}"/>
    <cellStyle name="Célula de Verificação 5 4" xfId="114" xr:uid="{00000000-0005-0000-0000-00009F000000}"/>
    <cellStyle name="Célula de Verificação 5 5" xfId="115" xr:uid="{00000000-0005-0000-0000-0000A0000000}"/>
    <cellStyle name="Célula de Verificação 5 6" xfId="116" xr:uid="{00000000-0005-0000-0000-0000A1000000}"/>
    <cellStyle name="Célula Vinculada 2" xfId="117" xr:uid="{00000000-0005-0000-0000-0000A2000000}"/>
    <cellStyle name="Célula Vinculada 2 2" xfId="118" xr:uid="{00000000-0005-0000-0000-0000A3000000}"/>
    <cellStyle name="Célula Vinculada 2 3" xfId="119" xr:uid="{00000000-0005-0000-0000-0000A4000000}"/>
    <cellStyle name="Célula Vinculada 2 4" xfId="120" xr:uid="{00000000-0005-0000-0000-0000A5000000}"/>
    <cellStyle name="Célula Vinculada 2 5" xfId="121" xr:uid="{00000000-0005-0000-0000-0000A6000000}"/>
    <cellStyle name="Célula Vinculada 2 6" xfId="122" xr:uid="{00000000-0005-0000-0000-0000A7000000}"/>
    <cellStyle name="Célula Vinculada 3" xfId="123" xr:uid="{00000000-0005-0000-0000-0000A8000000}"/>
    <cellStyle name="Célula Vinculada 3 2" xfId="124" xr:uid="{00000000-0005-0000-0000-0000A9000000}"/>
    <cellStyle name="Célula Vinculada 3 3" xfId="125" xr:uid="{00000000-0005-0000-0000-0000AA000000}"/>
    <cellStyle name="Célula Vinculada 3 4" xfId="126" xr:uid="{00000000-0005-0000-0000-0000AB000000}"/>
    <cellStyle name="Célula Vinculada 3 5" xfId="127" xr:uid="{00000000-0005-0000-0000-0000AC000000}"/>
    <cellStyle name="Célula Vinculada 3 6" xfId="128" xr:uid="{00000000-0005-0000-0000-0000AD000000}"/>
    <cellStyle name="Célula Vinculada 4" xfId="129" xr:uid="{00000000-0005-0000-0000-0000AE000000}"/>
    <cellStyle name="Célula Vinculada 4 2" xfId="130" xr:uid="{00000000-0005-0000-0000-0000AF000000}"/>
    <cellStyle name="Célula Vinculada 4 3" xfId="131" xr:uid="{00000000-0005-0000-0000-0000B0000000}"/>
    <cellStyle name="Célula Vinculada 4 4" xfId="132" xr:uid="{00000000-0005-0000-0000-0000B1000000}"/>
    <cellStyle name="Célula Vinculada 4 5" xfId="133" xr:uid="{00000000-0005-0000-0000-0000B2000000}"/>
    <cellStyle name="Célula Vinculada 4 6" xfId="134" xr:uid="{00000000-0005-0000-0000-0000B3000000}"/>
    <cellStyle name="Célula Vinculada 5" xfId="135" xr:uid="{00000000-0005-0000-0000-0000B4000000}"/>
    <cellStyle name="Célula Vinculada 5 2" xfId="136" xr:uid="{00000000-0005-0000-0000-0000B5000000}"/>
    <cellStyle name="Célula Vinculada 5 3" xfId="137" xr:uid="{00000000-0005-0000-0000-0000B6000000}"/>
    <cellStyle name="Célula Vinculada 5 4" xfId="138" xr:uid="{00000000-0005-0000-0000-0000B7000000}"/>
    <cellStyle name="Célula Vinculada 5 5" xfId="139" xr:uid="{00000000-0005-0000-0000-0000B8000000}"/>
    <cellStyle name="Célula Vinculada 5 6" xfId="140" xr:uid="{00000000-0005-0000-0000-0000B9000000}"/>
    <cellStyle name="DC_TABELA_CAMPO" xfId="1" xr:uid="{00000000-0005-0000-0000-000000000000}"/>
    <cellStyle name="Emphasis 1" xfId="141" xr:uid="{00000000-0005-0000-0000-0000BA000000}"/>
    <cellStyle name="Emphasis 2" xfId="142" xr:uid="{00000000-0005-0000-0000-0000BB000000}"/>
    <cellStyle name="Emphasis 3" xfId="143" xr:uid="{00000000-0005-0000-0000-0000BC000000}"/>
    <cellStyle name="Ênfase1 2" xfId="144" xr:uid="{00000000-0005-0000-0000-0000BD000000}"/>
    <cellStyle name="Ênfase1 2 2" xfId="145" xr:uid="{00000000-0005-0000-0000-0000BE000000}"/>
    <cellStyle name="Ênfase1 2 3" xfId="146" xr:uid="{00000000-0005-0000-0000-0000BF000000}"/>
    <cellStyle name="Ênfase1 2 4" xfId="147" xr:uid="{00000000-0005-0000-0000-0000C0000000}"/>
    <cellStyle name="Ênfase1 2 5" xfId="148" xr:uid="{00000000-0005-0000-0000-0000C1000000}"/>
    <cellStyle name="Ênfase1 2 6" xfId="149" xr:uid="{00000000-0005-0000-0000-0000C2000000}"/>
    <cellStyle name="Ênfase1 3" xfId="150" xr:uid="{00000000-0005-0000-0000-0000C3000000}"/>
    <cellStyle name="Ênfase1 3 2" xfId="151" xr:uid="{00000000-0005-0000-0000-0000C4000000}"/>
    <cellStyle name="Ênfase1 3 3" xfId="152" xr:uid="{00000000-0005-0000-0000-0000C5000000}"/>
    <cellStyle name="Ênfase1 3 4" xfId="153" xr:uid="{00000000-0005-0000-0000-0000C6000000}"/>
    <cellStyle name="Ênfase1 3 5" xfId="154" xr:uid="{00000000-0005-0000-0000-0000C7000000}"/>
    <cellStyle name="Ênfase1 3 6" xfId="155" xr:uid="{00000000-0005-0000-0000-0000C8000000}"/>
    <cellStyle name="Ênfase1 4" xfId="156" xr:uid="{00000000-0005-0000-0000-0000C9000000}"/>
    <cellStyle name="Ênfase1 4 2" xfId="157" xr:uid="{00000000-0005-0000-0000-0000CA000000}"/>
    <cellStyle name="Ênfase1 4 3" xfId="158" xr:uid="{00000000-0005-0000-0000-0000CB000000}"/>
    <cellStyle name="Ênfase1 4 4" xfId="159" xr:uid="{00000000-0005-0000-0000-0000CC000000}"/>
    <cellStyle name="Ênfase1 4 5" xfId="160" xr:uid="{00000000-0005-0000-0000-0000CD000000}"/>
    <cellStyle name="Ênfase1 4 6" xfId="161" xr:uid="{00000000-0005-0000-0000-0000CE000000}"/>
    <cellStyle name="Ênfase1 5" xfId="162" xr:uid="{00000000-0005-0000-0000-0000CF000000}"/>
    <cellStyle name="Ênfase1 5 2" xfId="163" xr:uid="{00000000-0005-0000-0000-0000D0000000}"/>
    <cellStyle name="Ênfase1 5 3" xfId="164" xr:uid="{00000000-0005-0000-0000-0000D1000000}"/>
    <cellStyle name="Ênfase1 5 4" xfId="165" xr:uid="{00000000-0005-0000-0000-0000D2000000}"/>
    <cellStyle name="Ênfase1 5 5" xfId="166" xr:uid="{00000000-0005-0000-0000-0000D3000000}"/>
    <cellStyle name="Ênfase1 5 6" xfId="167" xr:uid="{00000000-0005-0000-0000-0000D4000000}"/>
    <cellStyle name="Ênfase2 2" xfId="168" xr:uid="{00000000-0005-0000-0000-0000D5000000}"/>
    <cellStyle name="Ênfase2 2 2" xfId="169" xr:uid="{00000000-0005-0000-0000-0000D6000000}"/>
    <cellStyle name="Ênfase2 2 3" xfId="170" xr:uid="{00000000-0005-0000-0000-0000D7000000}"/>
    <cellStyle name="Ênfase2 2 4" xfId="171" xr:uid="{00000000-0005-0000-0000-0000D8000000}"/>
    <cellStyle name="Ênfase2 2 5" xfId="172" xr:uid="{00000000-0005-0000-0000-0000D9000000}"/>
    <cellStyle name="Ênfase2 2 6" xfId="173" xr:uid="{00000000-0005-0000-0000-0000DA000000}"/>
    <cellStyle name="Ênfase2 3" xfId="174" xr:uid="{00000000-0005-0000-0000-0000DB000000}"/>
    <cellStyle name="Ênfase2 3 2" xfId="175" xr:uid="{00000000-0005-0000-0000-0000DC000000}"/>
    <cellStyle name="Ênfase2 3 3" xfId="176" xr:uid="{00000000-0005-0000-0000-0000DD000000}"/>
    <cellStyle name="Ênfase2 3 4" xfId="177" xr:uid="{00000000-0005-0000-0000-0000DE000000}"/>
    <cellStyle name="Ênfase2 3 5" xfId="178" xr:uid="{00000000-0005-0000-0000-0000DF000000}"/>
    <cellStyle name="Ênfase2 3 6" xfId="179" xr:uid="{00000000-0005-0000-0000-0000E0000000}"/>
    <cellStyle name="Ênfase2 4" xfId="180" xr:uid="{00000000-0005-0000-0000-0000E1000000}"/>
    <cellStyle name="Ênfase2 4 2" xfId="181" xr:uid="{00000000-0005-0000-0000-0000E2000000}"/>
    <cellStyle name="Ênfase2 4 3" xfId="182" xr:uid="{00000000-0005-0000-0000-0000E3000000}"/>
    <cellStyle name="Ênfase2 4 4" xfId="183" xr:uid="{00000000-0005-0000-0000-0000E4000000}"/>
    <cellStyle name="Ênfase2 4 5" xfId="184" xr:uid="{00000000-0005-0000-0000-0000E5000000}"/>
    <cellStyle name="Ênfase2 4 6" xfId="185" xr:uid="{00000000-0005-0000-0000-0000E6000000}"/>
    <cellStyle name="Ênfase2 5" xfId="186" xr:uid="{00000000-0005-0000-0000-0000E7000000}"/>
    <cellStyle name="Ênfase2 5 2" xfId="187" xr:uid="{00000000-0005-0000-0000-0000E8000000}"/>
    <cellStyle name="Ênfase2 5 3" xfId="188" xr:uid="{00000000-0005-0000-0000-0000E9000000}"/>
    <cellStyle name="Ênfase2 5 4" xfId="189" xr:uid="{00000000-0005-0000-0000-0000EA000000}"/>
    <cellStyle name="Ênfase2 5 5" xfId="190" xr:uid="{00000000-0005-0000-0000-0000EB000000}"/>
    <cellStyle name="Ênfase2 5 6" xfId="191" xr:uid="{00000000-0005-0000-0000-0000EC000000}"/>
    <cellStyle name="Ênfase3 2" xfId="192" xr:uid="{00000000-0005-0000-0000-0000ED000000}"/>
    <cellStyle name="Ênfase3 2 2" xfId="193" xr:uid="{00000000-0005-0000-0000-0000EE000000}"/>
    <cellStyle name="Ênfase3 2 3" xfId="194" xr:uid="{00000000-0005-0000-0000-0000EF000000}"/>
    <cellStyle name="Ênfase3 2 4" xfId="195" xr:uid="{00000000-0005-0000-0000-0000F0000000}"/>
    <cellStyle name="Ênfase3 2 5" xfId="196" xr:uid="{00000000-0005-0000-0000-0000F1000000}"/>
    <cellStyle name="Ênfase3 2 6" xfId="197" xr:uid="{00000000-0005-0000-0000-0000F2000000}"/>
    <cellStyle name="Ênfase3 3" xfId="198" xr:uid="{00000000-0005-0000-0000-0000F3000000}"/>
    <cellStyle name="Ênfase3 3 2" xfId="199" xr:uid="{00000000-0005-0000-0000-0000F4000000}"/>
    <cellStyle name="Ênfase3 3 3" xfId="200" xr:uid="{00000000-0005-0000-0000-0000F5000000}"/>
    <cellStyle name="Ênfase3 3 4" xfId="201" xr:uid="{00000000-0005-0000-0000-0000F6000000}"/>
    <cellStyle name="Ênfase3 3 5" xfId="202" xr:uid="{00000000-0005-0000-0000-0000F7000000}"/>
    <cellStyle name="Ênfase3 3 6" xfId="203" xr:uid="{00000000-0005-0000-0000-0000F8000000}"/>
    <cellStyle name="Ênfase3 4" xfId="204" xr:uid="{00000000-0005-0000-0000-0000F9000000}"/>
    <cellStyle name="Ênfase3 4 2" xfId="205" xr:uid="{00000000-0005-0000-0000-0000FA000000}"/>
    <cellStyle name="Ênfase3 4 3" xfId="206" xr:uid="{00000000-0005-0000-0000-0000FB000000}"/>
    <cellStyle name="Ênfase3 4 4" xfId="207" xr:uid="{00000000-0005-0000-0000-0000FC000000}"/>
    <cellStyle name="Ênfase3 4 5" xfId="208" xr:uid="{00000000-0005-0000-0000-0000FD000000}"/>
    <cellStyle name="Ênfase3 4 6" xfId="209" xr:uid="{00000000-0005-0000-0000-0000FE000000}"/>
    <cellStyle name="Ênfase3 5" xfId="210" xr:uid="{00000000-0005-0000-0000-0000FF000000}"/>
    <cellStyle name="Ênfase3 5 2" xfId="211" xr:uid="{00000000-0005-0000-0000-000000010000}"/>
    <cellStyle name="Ênfase3 5 3" xfId="212" xr:uid="{00000000-0005-0000-0000-000001010000}"/>
    <cellStyle name="Ênfase3 5 4" xfId="213" xr:uid="{00000000-0005-0000-0000-000002010000}"/>
    <cellStyle name="Ênfase3 5 5" xfId="214" xr:uid="{00000000-0005-0000-0000-000003010000}"/>
    <cellStyle name="Ênfase3 5 6" xfId="215" xr:uid="{00000000-0005-0000-0000-000004010000}"/>
    <cellStyle name="Ênfase4 2" xfId="216" xr:uid="{00000000-0005-0000-0000-000005010000}"/>
    <cellStyle name="Ênfase4 2 2" xfId="217" xr:uid="{00000000-0005-0000-0000-000006010000}"/>
    <cellStyle name="Ênfase4 2 3" xfId="218" xr:uid="{00000000-0005-0000-0000-000007010000}"/>
    <cellStyle name="Ênfase4 2 4" xfId="219" xr:uid="{00000000-0005-0000-0000-000008010000}"/>
    <cellStyle name="Ênfase4 2 5" xfId="220" xr:uid="{00000000-0005-0000-0000-000009010000}"/>
    <cellStyle name="Ênfase4 2 6" xfId="221" xr:uid="{00000000-0005-0000-0000-00000A010000}"/>
    <cellStyle name="Ênfase4 3" xfId="222" xr:uid="{00000000-0005-0000-0000-00000B010000}"/>
    <cellStyle name="Ênfase4 3 2" xfId="223" xr:uid="{00000000-0005-0000-0000-00000C010000}"/>
    <cellStyle name="Ênfase4 3 3" xfId="224" xr:uid="{00000000-0005-0000-0000-00000D010000}"/>
    <cellStyle name="Ênfase4 3 4" xfId="225" xr:uid="{00000000-0005-0000-0000-00000E010000}"/>
    <cellStyle name="Ênfase4 3 5" xfId="226" xr:uid="{00000000-0005-0000-0000-00000F010000}"/>
    <cellStyle name="Ênfase4 3 6" xfId="227" xr:uid="{00000000-0005-0000-0000-000010010000}"/>
    <cellStyle name="Ênfase4 4" xfId="228" xr:uid="{00000000-0005-0000-0000-000011010000}"/>
    <cellStyle name="Ênfase4 4 2" xfId="229" xr:uid="{00000000-0005-0000-0000-000012010000}"/>
    <cellStyle name="Ênfase4 4 3" xfId="230" xr:uid="{00000000-0005-0000-0000-000013010000}"/>
    <cellStyle name="Ênfase4 4 4" xfId="231" xr:uid="{00000000-0005-0000-0000-000014010000}"/>
    <cellStyle name="Ênfase4 4 5" xfId="232" xr:uid="{00000000-0005-0000-0000-000015010000}"/>
    <cellStyle name="Ênfase4 4 6" xfId="233" xr:uid="{00000000-0005-0000-0000-000016010000}"/>
    <cellStyle name="Ênfase4 5" xfId="234" xr:uid="{00000000-0005-0000-0000-000017010000}"/>
    <cellStyle name="Ênfase4 5 2" xfId="235" xr:uid="{00000000-0005-0000-0000-000018010000}"/>
    <cellStyle name="Ênfase4 5 3" xfId="236" xr:uid="{00000000-0005-0000-0000-000019010000}"/>
    <cellStyle name="Ênfase4 5 4" xfId="237" xr:uid="{00000000-0005-0000-0000-00001A010000}"/>
    <cellStyle name="Ênfase4 5 5" xfId="238" xr:uid="{00000000-0005-0000-0000-00001B010000}"/>
    <cellStyle name="Ênfase4 5 6" xfId="239" xr:uid="{00000000-0005-0000-0000-00001C010000}"/>
    <cellStyle name="Ênfase5 2" xfId="240" xr:uid="{00000000-0005-0000-0000-00001D010000}"/>
    <cellStyle name="Ênfase5 2 2" xfId="241" xr:uid="{00000000-0005-0000-0000-00001E010000}"/>
    <cellStyle name="Ênfase5 2 3" xfId="242" xr:uid="{00000000-0005-0000-0000-00001F010000}"/>
    <cellStyle name="Ênfase5 2 4" xfId="243" xr:uid="{00000000-0005-0000-0000-000020010000}"/>
    <cellStyle name="Ênfase5 2 5" xfId="244" xr:uid="{00000000-0005-0000-0000-000021010000}"/>
    <cellStyle name="Ênfase5 2 6" xfId="245" xr:uid="{00000000-0005-0000-0000-000022010000}"/>
    <cellStyle name="Ênfase5 3" xfId="246" xr:uid="{00000000-0005-0000-0000-000023010000}"/>
    <cellStyle name="Ênfase5 3 2" xfId="247" xr:uid="{00000000-0005-0000-0000-000024010000}"/>
    <cellStyle name="Ênfase5 3 3" xfId="248" xr:uid="{00000000-0005-0000-0000-000025010000}"/>
    <cellStyle name="Ênfase5 3 4" xfId="249" xr:uid="{00000000-0005-0000-0000-000026010000}"/>
    <cellStyle name="Ênfase5 3 5" xfId="250" xr:uid="{00000000-0005-0000-0000-000027010000}"/>
    <cellStyle name="Ênfase5 3 6" xfId="251" xr:uid="{00000000-0005-0000-0000-000028010000}"/>
    <cellStyle name="Ênfase5 4" xfId="252" xr:uid="{00000000-0005-0000-0000-000029010000}"/>
    <cellStyle name="Ênfase5 4 2" xfId="253" xr:uid="{00000000-0005-0000-0000-00002A010000}"/>
    <cellStyle name="Ênfase5 4 3" xfId="254" xr:uid="{00000000-0005-0000-0000-00002B010000}"/>
    <cellStyle name="Ênfase5 4 4" xfId="255" xr:uid="{00000000-0005-0000-0000-00002C010000}"/>
    <cellStyle name="Ênfase5 4 5" xfId="256" xr:uid="{00000000-0005-0000-0000-00002D010000}"/>
    <cellStyle name="Ênfase5 4 6" xfId="257" xr:uid="{00000000-0005-0000-0000-00002E010000}"/>
    <cellStyle name="Ênfase5 5" xfId="258" xr:uid="{00000000-0005-0000-0000-00002F010000}"/>
    <cellStyle name="Ênfase5 5 2" xfId="259" xr:uid="{00000000-0005-0000-0000-000030010000}"/>
    <cellStyle name="Ênfase5 5 3" xfId="260" xr:uid="{00000000-0005-0000-0000-000031010000}"/>
    <cellStyle name="Ênfase5 5 4" xfId="261" xr:uid="{00000000-0005-0000-0000-000032010000}"/>
    <cellStyle name="Ênfase5 5 5" xfId="262" xr:uid="{00000000-0005-0000-0000-000033010000}"/>
    <cellStyle name="Ênfase5 5 6" xfId="263" xr:uid="{00000000-0005-0000-0000-000034010000}"/>
    <cellStyle name="Ênfase6 2" xfId="264" xr:uid="{00000000-0005-0000-0000-000035010000}"/>
    <cellStyle name="Ênfase6 2 2" xfId="265" xr:uid="{00000000-0005-0000-0000-000036010000}"/>
    <cellStyle name="Ênfase6 2 3" xfId="266" xr:uid="{00000000-0005-0000-0000-000037010000}"/>
    <cellStyle name="Ênfase6 2 4" xfId="267" xr:uid="{00000000-0005-0000-0000-000038010000}"/>
    <cellStyle name="Ênfase6 2 5" xfId="268" xr:uid="{00000000-0005-0000-0000-000039010000}"/>
    <cellStyle name="Ênfase6 2 6" xfId="269" xr:uid="{00000000-0005-0000-0000-00003A010000}"/>
    <cellStyle name="Ênfase6 3" xfId="270" xr:uid="{00000000-0005-0000-0000-00003B010000}"/>
    <cellStyle name="Ênfase6 3 2" xfId="271" xr:uid="{00000000-0005-0000-0000-00003C010000}"/>
    <cellStyle name="Ênfase6 3 3" xfId="272" xr:uid="{00000000-0005-0000-0000-00003D010000}"/>
    <cellStyle name="Ênfase6 3 4" xfId="273" xr:uid="{00000000-0005-0000-0000-00003E010000}"/>
    <cellStyle name="Ênfase6 3 5" xfId="274" xr:uid="{00000000-0005-0000-0000-00003F010000}"/>
    <cellStyle name="Ênfase6 3 6" xfId="275" xr:uid="{00000000-0005-0000-0000-000040010000}"/>
    <cellStyle name="Ênfase6 4" xfId="276" xr:uid="{00000000-0005-0000-0000-000041010000}"/>
    <cellStyle name="Ênfase6 4 2" xfId="277" xr:uid="{00000000-0005-0000-0000-000042010000}"/>
    <cellStyle name="Ênfase6 4 3" xfId="278" xr:uid="{00000000-0005-0000-0000-000043010000}"/>
    <cellStyle name="Ênfase6 4 4" xfId="279" xr:uid="{00000000-0005-0000-0000-000044010000}"/>
    <cellStyle name="Ênfase6 4 5" xfId="280" xr:uid="{00000000-0005-0000-0000-000045010000}"/>
    <cellStyle name="Ênfase6 4 6" xfId="281" xr:uid="{00000000-0005-0000-0000-000046010000}"/>
    <cellStyle name="Ênfase6 5" xfId="282" xr:uid="{00000000-0005-0000-0000-000047010000}"/>
    <cellStyle name="Ênfase6 5 2" xfId="283" xr:uid="{00000000-0005-0000-0000-000048010000}"/>
    <cellStyle name="Ênfase6 5 3" xfId="284" xr:uid="{00000000-0005-0000-0000-000049010000}"/>
    <cellStyle name="Ênfase6 5 4" xfId="285" xr:uid="{00000000-0005-0000-0000-00004A010000}"/>
    <cellStyle name="Ênfase6 5 5" xfId="286" xr:uid="{00000000-0005-0000-0000-00004B010000}"/>
    <cellStyle name="Ênfase6 5 6" xfId="287" xr:uid="{00000000-0005-0000-0000-00004C010000}"/>
    <cellStyle name="Entrada 2" xfId="288" xr:uid="{00000000-0005-0000-0000-00004D010000}"/>
    <cellStyle name="Entrada 2 2" xfId="289" xr:uid="{00000000-0005-0000-0000-00004E010000}"/>
    <cellStyle name="Entrada 2 3" xfId="290" xr:uid="{00000000-0005-0000-0000-00004F010000}"/>
    <cellStyle name="Entrada 2 4" xfId="291" xr:uid="{00000000-0005-0000-0000-000050010000}"/>
    <cellStyle name="Entrada 2 5" xfId="292" xr:uid="{00000000-0005-0000-0000-000051010000}"/>
    <cellStyle name="Entrada 2 6" xfId="293" xr:uid="{00000000-0005-0000-0000-000052010000}"/>
    <cellStyle name="Entrada 3" xfId="294" xr:uid="{00000000-0005-0000-0000-000053010000}"/>
    <cellStyle name="Entrada 3 2" xfId="295" xr:uid="{00000000-0005-0000-0000-000054010000}"/>
    <cellStyle name="Entrada 3 3" xfId="296" xr:uid="{00000000-0005-0000-0000-000055010000}"/>
    <cellStyle name="Entrada 3 4" xfId="297" xr:uid="{00000000-0005-0000-0000-000056010000}"/>
    <cellStyle name="Entrada 3 5" xfId="298" xr:uid="{00000000-0005-0000-0000-000057010000}"/>
    <cellStyle name="Entrada 3 6" xfId="299" xr:uid="{00000000-0005-0000-0000-000058010000}"/>
    <cellStyle name="Entrada 4" xfId="300" xr:uid="{00000000-0005-0000-0000-000059010000}"/>
    <cellStyle name="Entrada 4 2" xfId="301" xr:uid="{00000000-0005-0000-0000-00005A010000}"/>
    <cellStyle name="Entrada 4 3" xfId="302" xr:uid="{00000000-0005-0000-0000-00005B010000}"/>
    <cellStyle name="Entrada 4 4" xfId="303" xr:uid="{00000000-0005-0000-0000-00005C010000}"/>
    <cellStyle name="Entrada 4 5" xfId="304" xr:uid="{00000000-0005-0000-0000-00005D010000}"/>
    <cellStyle name="Entrada 4 6" xfId="305" xr:uid="{00000000-0005-0000-0000-00005E010000}"/>
    <cellStyle name="Entrada 5" xfId="306" xr:uid="{00000000-0005-0000-0000-00005F010000}"/>
    <cellStyle name="Entrada 5 2" xfId="307" xr:uid="{00000000-0005-0000-0000-000060010000}"/>
    <cellStyle name="Entrada 5 3" xfId="308" xr:uid="{00000000-0005-0000-0000-000061010000}"/>
    <cellStyle name="Entrada 5 4" xfId="309" xr:uid="{00000000-0005-0000-0000-000062010000}"/>
    <cellStyle name="Entrada 5 5" xfId="310" xr:uid="{00000000-0005-0000-0000-000063010000}"/>
    <cellStyle name="Entrada 5 6" xfId="311" xr:uid="{00000000-0005-0000-0000-000064010000}"/>
    <cellStyle name="Incorreto 2" xfId="312" xr:uid="{00000000-0005-0000-0000-000065010000}"/>
    <cellStyle name="Incorreto 2 2" xfId="313" xr:uid="{00000000-0005-0000-0000-000066010000}"/>
    <cellStyle name="Incorreto 2 3" xfId="314" xr:uid="{00000000-0005-0000-0000-000067010000}"/>
    <cellStyle name="Incorreto 2 4" xfId="315" xr:uid="{00000000-0005-0000-0000-000068010000}"/>
    <cellStyle name="Incorreto 2 5" xfId="316" xr:uid="{00000000-0005-0000-0000-000069010000}"/>
    <cellStyle name="Incorreto 2 6" xfId="317" xr:uid="{00000000-0005-0000-0000-00006A010000}"/>
    <cellStyle name="Incorreto 3" xfId="318" xr:uid="{00000000-0005-0000-0000-00006B010000}"/>
    <cellStyle name="Incorreto 3 2" xfId="319" xr:uid="{00000000-0005-0000-0000-00006C010000}"/>
    <cellStyle name="Incorreto 3 3" xfId="320" xr:uid="{00000000-0005-0000-0000-00006D010000}"/>
    <cellStyle name="Incorreto 3 4" xfId="321" xr:uid="{00000000-0005-0000-0000-00006E010000}"/>
    <cellStyle name="Incorreto 3 5" xfId="322" xr:uid="{00000000-0005-0000-0000-00006F010000}"/>
    <cellStyle name="Incorreto 3 6" xfId="323" xr:uid="{00000000-0005-0000-0000-000070010000}"/>
    <cellStyle name="Incorreto 4" xfId="324" xr:uid="{00000000-0005-0000-0000-000071010000}"/>
    <cellStyle name="Incorreto 4 2" xfId="325" xr:uid="{00000000-0005-0000-0000-000072010000}"/>
    <cellStyle name="Incorreto 4 3" xfId="326" xr:uid="{00000000-0005-0000-0000-000073010000}"/>
    <cellStyle name="Incorreto 4 4" xfId="327" xr:uid="{00000000-0005-0000-0000-000074010000}"/>
    <cellStyle name="Incorreto 4 5" xfId="328" xr:uid="{00000000-0005-0000-0000-000075010000}"/>
    <cellStyle name="Incorreto 4 6" xfId="329" xr:uid="{00000000-0005-0000-0000-000076010000}"/>
    <cellStyle name="Incorreto 5" xfId="330" xr:uid="{00000000-0005-0000-0000-000077010000}"/>
    <cellStyle name="Incorreto 5 2" xfId="331" xr:uid="{00000000-0005-0000-0000-000078010000}"/>
    <cellStyle name="Incorreto 5 3" xfId="332" xr:uid="{00000000-0005-0000-0000-000079010000}"/>
    <cellStyle name="Incorreto 5 4" xfId="333" xr:uid="{00000000-0005-0000-0000-00007A010000}"/>
    <cellStyle name="Incorreto 5 5" xfId="334" xr:uid="{00000000-0005-0000-0000-00007B010000}"/>
    <cellStyle name="Incorreto 5 6" xfId="335" xr:uid="{00000000-0005-0000-0000-00007C010000}"/>
    <cellStyle name="Moeda 2" xfId="17" xr:uid="{00000000-0005-0000-0000-000002000000}"/>
    <cellStyle name="Moeda 2 2" xfId="939" xr:uid="{287F1611-FAEE-4049-89BA-D2A03AA21C02}"/>
    <cellStyle name="Moeda 3" xfId="854" xr:uid="{00000000-0005-0000-0000-000081030000}"/>
    <cellStyle name="Moeda 3 2" xfId="1046" xr:uid="{B3FDBBB9-3F5F-480A-BECF-E7354C299D31}"/>
    <cellStyle name="Moeda 4" xfId="897" xr:uid="{00000000-0005-0000-0000-000086030000}"/>
    <cellStyle name="Moeda 4 2" xfId="1089" xr:uid="{A4AC030B-E179-4BF5-B61F-47F88ADBE320}"/>
    <cellStyle name="Moeda 5" xfId="904" xr:uid="{06AF65F1-85B6-4EC0-B238-6E9A1C1E944F}"/>
    <cellStyle name="Neutra 2" xfId="336" xr:uid="{00000000-0005-0000-0000-00007D010000}"/>
    <cellStyle name="Neutra 2 2" xfId="337" xr:uid="{00000000-0005-0000-0000-00007E010000}"/>
    <cellStyle name="Neutra 2 3" xfId="338" xr:uid="{00000000-0005-0000-0000-00007F010000}"/>
    <cellStyle name="Neutra 2 4" xfId="339" xr:uid="{00000000-0005-0000-0000-000080010000}"/>
    <cellStyle name="Neutra 2 5" xfId="340" xr:uid="{00000000-0005-0000-0000-000081010000}"/>
    <cellStyle name="Neutra 2 6" xfId="341" xr:uid="{00000000-0005-0000-0000-000082010000}"/>
    <cellStyle name="Neutra 3" xfId="342" xr:uid="{00000000-0005-0000-0000-000083010000}"/>
    <cellStyle name="Neutra 3 2" xfId="343" xr:uid="{00000000-0005-0000-0000-000084010000}"/>
    <cellStyle name="Neutra 3 3" xfId="344" xr:uid="{00000000-0005-0000-0000-000085010000}"/>
    <cellStyle name="Neutra 3 4" xfId="345" xr:uid="{00000000-0005-0000-0000-000086010000}"/>
    <cellStyle name="Neutra 3 5" xfId="346" xr:uid="{00000000-0005-0000-0000-000087010000}"/>
    <cellStyle name="Neutra 3 6" xfId="347" xr:uid="{00000000-0005-0000-0000-000088010000}"/>
    <cellStyle name="Neutra 4" xfId="348" xr:uid="{00000000-0005-0000-0000-000089010000}"/>
    <cellStyle name="Neutra 4 2" xfId="349" xr:uid="{00000000-0005-0000-0000-00008A010000}"/>
    <cellStyle name="Neutra 4 3" xfId="350" xr:uid="{00000000-0005-0000-0000-00008B010000}"/>
    <cellStyle name="Neutra 4 4" xfId="351" xr:uid="{00000000-0005-0000-0000-00008C010000}"/>
    <cellStyle name="Neutra 4 5" xfId="352" xr:uid="{00000000-0005-0000-0000-00008D010000}"/>
    <cellStyle name="Neutra 4 6" xfId="353" xr:uid="{00000000-0005-0000-0000-00008E010000}"/>
    <cellStyle name="Neutra 5" xfId="354" xr:uid="{00000000-0005-0000-0000-00008F010000}"/>
    <cellStyle name="Neutra 5 2" xfId="355" xr:uid="{00000000-0005-0000-0000-000090010000}"/>
    <cellStyle name="Neutra 5 3" xfId="356" xr:uid="{00000000-0005-0000-0000-000091010000}"/>
    <cellStyle name="Neutra 5 4" xfId="357" xr:uid="{00000000-0005-0000-0000-000092010000}"/>
    <cellStyle name="Neutra 5 5" xfId="358" xr:uid="{00000000-0005-0000-0000-000093010000}"/>
    <cellStyle name="Neutra 5 6" xfId="359" xr:uid="{00000000-0005-0000-0000-000094010000}"/>
    <cellStyle name="Normal" xfId="0" builtinId="0"/>
    <cellStyle name="Normal 10" xfId="360" xr:uid="{00000000-0005-0000-0000-000095010000}"/>
    <cellStyle name="Normal 11" xfId="361" xr:uid="{00000000-0005-0000-0000-000096010000}"/>
    <cellStyle name="Normal 11 2" xfId="784" xr:uid="{00000000-0005-0000-0000-00004F010000}"/>
    <cellStyle name="Normal 11 2 2" xfId="816" xr:uid="{00000000-0005-0000-0000-000053010000}"/>
    <cellStyle name="Normal 11 2 2 2" xfId="1008" xr:uid="{8BAF92A5-3BD3-4483-AC5F-34E922EB174F}"/>
    <cellStyle name="Normal 11 2 3" xfId="976" xr:uid="{6C61A53B-3971-40A3-AB0A-0460958874B9}"/>
    <cellStyle name="Normal 11 3" xfId="809" xr:uid="{00000000-0005-0000-0000-000054010000}"/>
    <cellStyle name="Normal 11 3 2" xfId="1001" xr:uid="{77CF7B4B-6691-4216-A0D5-74EE312377C5}"/>
    <cellStyle name="Normal 11 4" xfId="837" xr:uid="{00000000-0005-0000-0000-00004F010000}"/>
    <cellStyle name="Normal 11 4 2" xfId="1029" xr:uid="{00B1E228-6B70-494D-B9D1-CC5801E331CB}"/>
    <cellStyle name="Normal 11 5" xfId="843" xr:uid="{00000000-0005-0000-0000-00004F010000}"/>
    <cellStyle name="Normal 11 5 2" xfId="1035" xr:uid="{AF700928-7F41-4350-8875-7E3DEA222398}"/>
    <cellStyle name="Normal 11 6" xfId="872" xr:uid="{00000000-0005-0000-0000-000096010000}"/>
    <cellStyle name="Normal 11 6 2" xfId="1064" xr:uid="{2853738E-CABA-4D4D-9D39-2A3F8DAB7FE2}"/>
    <cellStyle name="Normal 11 7" xfId="916" xr:uid="{2B31595D-BE4F-4FBF-8A9B-1507783BD562}"/>
    <cellStyle name="Normal 11 7 2" xfId="1106" xr:uid="{AEEE1482-F43F-4A34-BD32-20A8AAC0DD4B}"/>
    <cellStyle name="Normal 11 8" xfId="948" xr:uid="{549E5030-BE7B-4639-B4EB-A7CBED23879B}"/>
    <cellStyle name="Normal 12" xfId="362" xr:uid="{00000000-0005-0000-0000-000097010000}"/>
    <cellStyle name="Normal 12 2" xfId="785" xr:uid="{00000000-0005-0000-0000-000050010000}"/>
    <cellStyle name="Normal 12 2 2" xfId="817" xr:uid="{00000000-0005-0000-0000-000057010000}"/>
    <cellStyle name="Normal 12 2 2 2" xfId="1009" xr:uid="{B424BFEB-6CB5-4012-A600-0723EAB10EC2}"/>
    <cellStyle name="Normal 12 2 3" xfId="977" xr:uid="{6D2E79DF-E666-4562-9008-BDB52DE681E1}"/>
    <cellStyle name="Normal 12 3" xfId="810" xr:uid="{00000000-0005-0000-0000-000058010000}"/>
    <cellStyle name="Normal 12 3 2" xfId="1002" xr:uid="{BD6ECFD0-C270-4850-B9AF-0D203633A883}"/>
    <cellStyle name="Normal 12 4" xfId="838" xr:uid="{00000000-0005-0000-0000-000050010000}"/>
    <cellStyle name="Normal 12 4 2" xfId="1030" xr:uid="{539190BF-997C-4E75-B50B-A72391F07672}"/>
    <cellStyle name="Normal 12 5" xfId="844" xr:uid="{00000000-0005-0000-0000-000050010000}"/>
    <cellStyle name="Normal 12 5 2" xfId="1036" xr:uid="{7D065D5C-A685-4D1F-9709-B8579409166C}"/>
    <cellStyle name="Normal 12 6" xfId="873" xr:uid="{00000000-0005-0000-0000-000097010000}"/>
    <cellStyle name="Normal 12 6 2" xfId="1065" xr:uid="{957DB168-B78C-472D-993F-A3C3946A1247}"/>
    <cellStyle name="Normal 12 7" xfId="917" xr:uid="{1530E3B3-7D36-48ED-9546-A1405AA5536D}"/>
    <cellStyle name="Normal 12 7 2" xfId="1107" xr:uid="{1C6F14A7-C916-47EE-8615-BF87C9C9EBD3}"/>
    <cellStyle name="Normal 12 8" xfId="949" xr:uid="{407EB2B8-F21B-4B18-9E2C-829F42535DFF}"/>
    <cellStyle name="Normal 13" xfId="777" xr:uid="{AE55DDEE-11BB-407E-9595-B48C97153506}"/>
    <cellStyle name="Normal 13 2" xfId="893" xr:uid="{AE55DDEE-11BB-407E-9595-B48C97153506}"/>
    <cellStyle name="Normal 13 2 2" xfId="1085" xr:uid="{1708FC00-7FE1-4586-BDFB-D5F7050CE679}"/>
    <cellStyle name="Normal 13 3" xfId="915" xr:uid="{E09D0BD5-9B79-4837-825F-78F1B03CFEF2}"/>
    <cellStyle name="Normal 13 4" xfId="969" xr:uid="{1F3DED33-07A3-4DF0-9F08-10C44DF9C112}"/>
    <cellStyle name="Normal 14" xfId="363" xr:uid="{00000000-0005-0000-0000-000098010000}"/>
    <cellStyle name="Normal 15" xfId="779" xr:uid="{F5F0387D-56E6-4EE8-850A-9C9BE99FDA03}"/>
    <cellStyle name="Normal 15 2" xfId="895" xr:uid="{F5F0387D-56E6-4EE8-850A-9C9BE99FDA03}"/>
    <cellStyle name="Normal 15 2 2" xfId="1087" xr:uid="{5B69E129-7E56-405A-B076-6A6D77E1447A}"/>
    <cellStyle name="Normal 15 3" xfId="971" xr:uid="{EE1098B3-793E-445D-8820-391A6EFDDA47}"/>
    <cellStyle name="Normal 16" xfId="781" xr:uid="{00000000-0005-0000-0000-00003A030000}"/>
    <cellStyle name="Normal 16 2" xfId="973" xr:uid="{6DF2A34A-544D-4696-B394-70CA688920AF}"/>
    <cellStyle name="Normal 17" xfId="850" xr:uid="{03D28F4A-6908-4ED2-A430-DB1C87B61B09}"/>
    <cellStyle name="Normal 17 2" xfId="855" xr:uid="{D82B6162-71AA-40EE-9E38-354B51975A68}"/>
    <cellStyle name="Normal 17 2 2" xfId="1047" xr:uid="{44250B32-49DD-43AB-97FD-C4AAF5BD6B30}"/>
    <cellStyle name="Normal 17 3" xfId="1042" xr:uid="{15776823-83AB-4A25-8131-FBAC2EFBBD31}"/>
    <cellStyle name="Normal 18" xfId="852" xr:uid="{00000000-0005-0000-0000-000082030000}"/>
    <cellStyle name="Normal 18 2" xfId="1044" xr:uid="{5B36D4F8-AE68-403C-B72F-361451EBF455}"/>
    <cellStyle name="Normal 19" xfId="898" xr:uid="{9413A313-855C-4BF4-88DA-B4FEE2682EE9}"/>
    <cellStyle name="Normal 19 2" xfId="1090" xr:uid="{EE289D81-8F5A-422C-B07A-643AA87471A2}"/>
    <cellStyle name="Normal 2" xfId="3" xr:uid="{00000000-0005-0000-0000-000004000000}"/>
    <cellStyle name="Normal 2 2" xfId="365" xr:uid="{00000000-0005-0000-0000-00009A010000}"/>
    <cellStyle name="Normal 2 2 2" xfId="366" xr:uid="{00000000-0005-0000-0000-00009B010000}"/>
    <cellStyle name="Normal 2 2 3" xfId="367" xr:uid="{00000000-0005-0000-0000-00009C010000}"/>
    <cellStyle name="Normal 2 2 4" xfId="368" xr:uid="{00000000-0005-0000-0000-00009D010000}"/>
    <cellStyle name="Normal 2 3" xfId="369" xr:uid="{00000000-0005-0000-0000-00009E010000}"/>
    <cellStyle name="Normal 2 4" xfId="370" xr:uid="{00000000-0005-0000-0000-00009F010000}"/>
    <cellStyle name="Normal 2 5" xfId="364" xr:uid="{00000000-0005-0000-0000-000099010000}"/>
    <cellStyle name="Normal 20" xfId="902" xr:uid="{6951DF55-3479-487E-8601-5858772C2912}"/>
    <cellStyle name="Normal 20 2" xfId="1094" xr:uid="{7C5A3AF9-79F6-4D14-881D-F147C37FB655}"/>
    <cellStyle name="Normal 21" xfId="905" xr:uid="{9583C9E6-325A-45D3-ACCB-B7BB12FC5886}"/>
    <cellStyle name="Normal 21 2" xfId="1096" xr:uid="{70B4DA25-6B65-40D9-AAA9-8ED22311091A}"/>
    <cellStyle name="Normal 22" xfId="910" xr:uid="{F54E77F7-D2B2-4508-856C-480ABFBB1756}"/>
    <cellStyle name="Normal 22 2" xfId="1101" xr:uid="{0462B97F-18D9-4BBD-9660-6A590B71DFC1}"/>
    <cellStyle name="Normal 23" xfId="912" xr:uid="{5F61FEFE-2C6C-44E5-A7F3-F3B88C9C26D7}"/>
    <cellStyle name="Normal 23 2" xfId="1103" xr:uid="{6EDAF9AA-4807-4BC5-B4F3-543385D8096A}"/>
    <cellStyle name="Normal 24" xfId="925" xr:uid="{A9BD07E4-FF1B-4C15-97B2-E02A641B37D1}"/>
    <cellStyle name="Normal 24 2" xfId="1115" xr:uid="{07A9C861-1DF5-4FA0-B730-8AA42FEF3D13}"/>
    <cellStyle name="Normal 3" xfId="5" xr:uid="{00000000-0005-0000-0000-000005000000}"/>
    <cellStyle name="Normal 3 2" xfId="13" xr:uid="{00000000-0005-0000-0000-000006000000}"/>
    <cellStyle name="Normal 3 2 2" xfId="768" xr:uid="{00000000-0005-0000-0000-000006000000}"/>
    <cellStyle name="Normal 3 2 2 2" xfId="884" xr:uid="{00000000-0005-0000-0000-000006000000}"/>
    <cellStyle name="Normal 3 2 2 2 2" xfId="1076" xr:uid="{97DCAC1B-3F1E-476E-AF77-7E3256F587A9}"/>
    <cellStyle name="Normal 3 2 2 3" xfId="960" xr:uid="{59D18FD9-1844-47D9-B339-131A4F7AE6FF}"/>
    <cellStyle name="Normal 3 2 3" xfId="861" xr:uid="{00000000-0005-0000-0000-000006000000}"/>
    <cellStyle name="Normal 3 2 3 2" xfId="1053" xr:uid="{28D6CEBC-A278-4246-AE1A-810A930A6777}"/>
    <cellStyle name="Normal 3 2 4" xfId="935" xr:uid="{EC08DA1B-677E-47A6-B565-65D7CF6079B8}"/>
    <cellStyle name="Normal 3 3" xfId="19" xr:uid="{00000000-0005-0000-0000-000007000000}"/>
    <cellStyle name="Normal 3 3 2" xfId="773" xr:uid="{00000000-0005-0000-0000-000007000000}"/>
    <cellStyle name="Normal 3 3 2 2" xfId="889" xr:uid="{00000000-0005-0000-0000-000007000000}"/>
    <cellStyle name="Normal 3 3 2 2 2" xfId="1081" xr:uid="{70E837DB-8A75-4366-898E-2A03296E8614}"/>
    <cellStyle name="Normal 3 3 2 3" xfId="965" xr:uid="{B799CDE7-A68E-4D4A-8ED3-A0118D3D1695}"/>
    <cellStyle name="Normal 3 3 3" xfId="866" xr:uid="{00000000-0005-0000-0000-000007000000}"/>
    <cellStyle name="Normal 3 3 3 2" xfId="1058" xr:uid="{3BCE270D-0D84-422D-BC92-A4349A231178}"/>
    <cellStyle name="Normal 3 3 4" xfId="941" xr:uid="{3A96A5F3-6FE5-486D-8459-E2014A559F2F}"/>
    <cellStyle name="Normal 3 4" xfId="21" xr:uid="{D0576EAF-C6E0-4B9A-A30B-166943355BC7}"/>
    <cellStyle name="Normal 3 5" xfId="764" xr:uid="{00000000-0005-0000-0000-000005000000}"/>
    <cellStyle name="Normal 3 5 2" xfId="880" xr:uid="{00000000-0005-0000-0000-000005000000}"/>
    <cellStyle name="Normal 3 5 2 2" xfId="1072" xr:uid="{7B42B044-872D-4411-AA66-0048701F5679}"/>
    <cellStyle name="Normal 3 5 3" xfId="956" xr:uid="{4EB66BD0-D2BF-4EC0-86CA-857CD994A937}"/>
    <cellStyle name="Normal 3 6" xfId="857" xr:uid="{00000000-0005-0000-0000-000005000000}"/>
    <cellStyle name="Normal 3 6 2" xfId="1049" xr:uid="{0ED26140-D67B-4418-AE31-30D0B8094305}"/>
    <cellStyle name="Normal 3 7" xfId="909" xr:uid="{1251B668-788B-41E0-8B3C-4464C70363FE}"/>
    <cellStyle name="Normal 3 7 2" xfId="1100" xr:uid="{E4748EA4-7B16-4040-AE43-B77D961AFC74}"/>
    <cellStyle name="Normal 3 8" xfId="928" xr:uid="{7EE1A7DC-36D9-4AAC-B51C-D3D0A1A0B42F}"/>
    <cellStyle name="Normal 4" xfId="10" xr:uid="{00000000-0005-0000-0000-000008000000}"/>
    <cellStyle name="Normal 4 2" xfId="16" xr:uid="{00000000-0005-0000-0000-000009000000}"/>
    <cellStyle name="Normal 4 2 2" xfId="771" xr:uid="{00000000-0005-0000-0000-000009000000}"/>
    <cellStyle name="Normal 4 2 2 2" xfId="818" xr:uid="{00000000-0005-0000-0000-000064010000}"/>
    <cellStyle name="Normal 4 2 2 2 2" xfId="1010" xr:uid="{131B38BC-840A-4FDF-BFC5-3AB72EB9F91B}"/>
    <cellStyle name="Normal 4 2 2 3" xfId="887" xr:uid="{00000000-0005-0000-0000-000009000000}"/>
    <cellStyle name="Normal 4 2 2 3 2" xfId="1079" xr:uid="{F33472D6-7201-4396-9CDC-FD0FA5B9B696}"/>
    <cellStyle name="Normal 4 2 2 4" xfId="963" xr:uid="{95F41168-74C1-4865-B347-D9D9A9FB0E0E}"/>
    <cellStyle name="Normal 4 2 3" xfId="792" xr:uid="{00000000-0005-0000-0000-000063010000}"/>
    <cellStyle name="Normal 4 2 3 2" xfId="984" xr:uid="{FE8CBFD9-BEE3-40FD-B1B7-DC67ED54046E}"/>
    <cellStyle name="Normal 4 2 4" xfId="864" xr:uid="{00000000-0005-0000-0000-000009000000}"/>
    <cellStyle name="Normal 4 2 4 2" xfId="1056" xr:uid="{C8889398-E7BD-4380-BD61-4B4B73ADF9E0}"/>
    <cellStyle name="Normal 4 2 5" xfId="938" xr:uid="{1117A40F-24BE-4CAA-8503-F9644441F8BC}"/>
    <cellStyle name="Normal 4 3" xfId="371" xr:uid="{00000000-0005-0000-0000-0000A0010000}"/>
    <cellStyle name="Normal 4 3 2" xfId="811" xr:uid="{00000000-0005-0000-0000-000065010000}"/>
    <cellStyle name="Normal 4 3 2 2" xfId="1003" xr:uid="{F2569238-762E-4707-B0AD-0CADB3AACA52}"/>
    <cellStyle name="Normal 4 3 3" xfId="874" xr:uid="{00000000-0005-0000-0000-0000A0010000}"/>
    <cellStyle name="Normal 4 3 3 2" xfId="1066" xr:uid="{F043823F-82A5-43F9-8789-B9002B87E943}"/>
    <cellStyle name="Normal 4 3 4" xfId="950" xr:uid="{34D6F65D-A9CF-40CC-B46F-01C5E4515E9B}"/>
    <cellStyle name="Normal 4 4" xfId="767" xr:uid="{00000000-0005-0000-0000-000008000000}"/>
    <cellStyle name="Normal 4 4 2" xfId="839" xr:uid="{00000000-0005-0000-0000-00005A010000}"/>
    <cellStyle name="Normal 4 4 2 2" xfId="1031" xr:uid="{38FE1165-51EA-46D7-B49B-C633E7E0A03D}"/>
    <cellStyle name="Normal 4 4 3" xfId="883" xr:uid="{00000000-0005-0000-0000-000008000000}"/>
    <cellStyle name="Normal 4 4 3 2" xfId="1075" xr:uid="{C79962DB-97DE-4610-BBB6-2FD709100B00}"/>
    <cellStyle name="Normal 4 4 4" xfId="959" xr:uid="{387DAD75-348D-4267-812C-22DCF4A09C07}"/>
    <cellStyle name="Normal 4 5" xfId="786" xr:uid="{00000000-0005-0000-0000-00005A010000}"/>
    <cellStyle name="Normal 4 5 2" xfId="978" xr:uid="{752B56D7-12B5-433F-91C1-67C1659F12F0}"/>
    <cellStyle name="Normal 4 6" xfId="860" xr:uid="{00000000-0005-0000-0000-000008000000}"/>
    <cellStyle name="Normal 4 6 2" xfId="1052" xr:uid="{6E1962A8-533B-4011-9CE8-8A548D5A2B25}"/>
    <cellStyle name="Normal 4 7" xfId="908" xr:uid="{857A9A44-3FA3-4821-9973-8339ACF12F96}"/>
    <cellStyle name="Normal 4 7 2" xfId="1099" xr:uid="{8C744AF9-D393-4432-911A-74C2BCDC064A}"/>
    <cellStyle name="Normal 4 8" xfId="918" xr:uid="{52A09B32-92F6-428D-8101-A18262DD4DAB}"/>
    <cellStyle name="Normal 4 8 2" xfId="1108" xr:uid="{8A9DD0B2-0264-4656-A0A6-44C235895564}"/>
    <cellStyle name="Normal 4 9" xfId="932" xr:uid="{5851BD2E-5285-4CB7-8890-08DA2F459209}"/>
    <cellStyle name="Normal 5" xfId="18" xr:uid="{00000000-0005-0000-0000-00000A000000}"/>
    <cellStyle name="Normal 5 2" xfId="372" xr:uid="{00000000-0005-0000-0000-0000A1010000}"/>
    <cellStyle name="Normal 5 2 2" xfId="819" xr:uid="{00000000-0005-0000-0000-000068010000}"/>
    <cellStyle name="Normal 5 2 2 2" xfId="1011" xr:uid="{45249E85-96EB-4F57-BE2D-B4A94590B9B9}"/>
    <cellStyle name="Normal 5 2 3" xfId="793" xr:uid="{00000000-0005-0000-0000-000067010000}"/>
    <cellStyle name="Normal 5 2 3 2" xfId="985" xr:uid="{3714BA6B-5C12-46B4-B340-352E7AA1C16C}"/>
    <cellStyle name="Normal 5 2 4" xfId="875" xr:uid="{00000000-0005-0000-0000-0000A1010000}"/>
    <cellStyle name="Normal 5 2 4 2" xfId="1067" xr:uid="{701BA254-DDF9-49F1-A154-CB8C020E938F}"/>
    <cellStyle name="Normal 5 2 5" xfId="951" xr:uid="{ECF30A87-7382-4A3C-85B0-70C032F98F6C}"/>
    <cellStyle name="Normal 5 3" xfId="772" xr:uid="{00000000-0005-0000-0000-00000A000000}"/>
    <cellStyle name="Normal 5 3 2" xfId="812" xr:uid="{00000000-0005-0000-0000-000069010000}"/>
    <cellStyle name="Normal 5 3 2 2" xfId="1004" xr:uid="{4BBF0E71-3B06-4195-8C8E-A2834B67AE6D}"/>
    <cellStyle name="Normal 5 3 3" xfId="888" xr:uid="{00000000-0005-0000-0000-00000A000000}"/>
    <cellStyle name="Normal 5 3 3 2" xfId="1080" xr:uid="{455F32CA-5A6F-454C-B129-4C60BAEAA3B1}"/>
    <cellStyle name="Normal 5 3 4" xfId="964" xr:uid="{700B6A43-7F25-480E-A755-9E79D0EF322B}"/>
    <cellStyle name="Normal 5 4" xfId="787" xr:uid="{00000000-0005-0000-0000-00005B010000}"/>
    <cellStyle name="Normal 5 4 2" xfId="979" xr:uid="{9D5D9AE4-E70D-483F-87DF-9E766E45A5E6}"/>
    <cellStyle name="Normal 5 5" xfId="845" xr:uid="{00000000-0005-0000-0000-00005B010000}"/>
    <cellStyle name="Normal 5 5 2" xfId="1037" xr:uid="{C71CEE0F-027F-471A-8E4D-0D5A4E5D4B6A}"/>
    <cellStyle name="Normal 5 6" xfId="865" xr:uid="{00000000-0005-0000-0000-00000A000000}"/>
    <cellStyle name="Normal 5 6 2" xfId="1057" xr:uid="{19C18F09-1CEB-4101-AC60-5173DE637B84}"/>
    <cellStyle name="Normal 5 7" xfId="919" xr:uid="{F412FAC0-24E9-4D4C-AA09-2EDF772140F5}"/>
    <cellStyle name="Normal 5 7 2" xfId="1109" xr:uid="{E5FCD2F0-F771-4785-A16A-57F6755F1822}"/>
    <cellStyle name="Normal 5 8" xfId="940" xr:uid="{F10DA1D0-CBFF-4F6D-BBE0-5C8D944CF53D}"/>
    <cellStyle name="Normal 6" xfId="20" xr:uid="{6D85AC24-C5E6-4733-ACC9-E8951C5350A7}"/>
    <cellStyle name="Normal 6 2" xfId="373" xr:uid="{00000000-0005-0000-0000-0000A2010000}"/>
    <cellStyle name="Normal 6 2 2" xfId="820" xr:uid="{00000000-0005-0000-0000-00006C010000}"/>
    <cellStyle name="Normal 6 2 2 2" xfId="1012" xr:uid="{198A9291-5255-4AC5-B2D7-732F4209F60E}"/>
    <cellStyle name="Normal 6 2 3" xfId="794" xr:uid="{00000000-0005-0000-0000-00006B010000}"/>
    <cellStyle name="Normal 6 2 3 2" xfId="986" xr:uid="{BD4268CA-94AD-4969-93EB-FBB1073119FD}"/>
    <cellStyle name="Normal 6 2 4" xfId="876" xr:uid="{00000000-0005-0000-0000-0000A2010000}"/>
    <cellStyle name="Normal 6 2 4 2" xfId="1068" xr:uid="{12990E35-2EC2-43DF-A016-F99D05FC7477}"/>
    <cellStyle name="Normal 6 2 5" xfId="952" xr:uid="{3D42EBD0-9608-4652-84BB-C0F2C5088CA1}"/>
    <cellStyle name="Normal 6 3" xfId="774" xr:uid="{6D85AC24-C5E6-4733-ACC9-E8951C5350A7}"/>
    <cellStyle name="Normal 6 3 2" xfId="813" xr:uid="{00000000-0005-0000-0000-00006D010000}"/>
    <cellStyle name="Normal 6 3 2 2" xfId="1005" xr:uid="{C707CF2A-98BA-4ABC-B94F-9FD5CAF43BBB}"/>
    <cellStyle name="Normal 6 3 3" xfId="890" xr:uid="{6D85AC24-C5E6-4733-ACC9-E8951C5350A7}"/>
    <cellStyle name="Normal 6 3 3 2" xfId="1082" xr:uid="{123387DE-6383-406A-88D2-74B11750A766}"/>
    <cellStyle name="Normal 6 3 4" xfId="966" xr:uid="{9B4ACD94-F512-4B85-823E-839C3FFF2DAE}"/>
    <cellStyle name="Normal 6 4" xfId="788" xr:uid="{00000000-0005-0000-0000-00005C010000}"/>
    <cellStyle name="Normal 6 4 2" xfId="980" xr:uid="{D7583285-4CD5-4F20-B3F0-976E65B43D25}"/>
    <cellStyle name="Normal 6 5" xfId="846" xr:uid="{00000000-0005-0000-0000-00005C010000}"/>
    <cellStyle name="Normal 6 5 2" xfId="1038" xr:uid="{11A76EB8-3FDC-49F0-AF33-44FD5BECF694}"/>
    <cellStyle name="Normal 6 6" xfId="867" xr:uid="{6D85AC24-C5E6-4733-ACC9-E8951C5350A7}"/>
    <cellStyle name="Normal 6 6 2" xfId="1059" xr:uid="{6B4B3C9A-527B-4723-85D8-9B8BAC833B25}"/>
    <cellStyle name="Normal 6 7" xfId="900" xr:uid="{14385DBC-DA44-48F8-9F5C-D4B75E4C62B8}"/>
    <cellStyle name="Normal 6 7 2" xfId="901" xr:uid="{0C14359F-3B07-4F5E-99BE-24F440B5782E}"/>
    <cellStyle name="Normal 6 7 2 2" xfId="1093" xr:uid="{E4361F11-9B64-4C15-9B9D-F7E4D9B46D39}"/>
    <cellStyle name="Normal 6 7 3" xfId="1092" xr:uid="{FE9699A2-F9E2-41B3-90E9-E0B37321B91E}"/>
    <cellStyle name="Normal 6 8" xfId="920" xr:uid="{4865A203-D368-427F-8F9B-2C89B3C602DE}"/>
    <cellStyle name="Normal 6 8 2" xfId="1110" xr:uid="{D8276297-0E5D-4986-9940-AD8E0DBF3E49}"/>
    <cellStyle name="Normal 6 9" xfId="942" xr:uid="{B78029E7-A063-4911-BA14-1DD08848FF51}"/>
    <cellStyle name="Normal 7" xfId="25" xr:uid="{996A0D7A-C742-4B3D-8A19-A74EBE2F8C04}"/>
    <cellStyle name="Normal 7 2" xfId="374" xr:uid="{00000000-0005-0000-0000-0000A3010000}"/>
    <cellStyle name="Normal 7 2 2" xfId="821" xr:uid="{00000000-0005-0000-0000-000070010000}"/>
    <cellStyle name="Normal 7 2 2 2" xfId="1013" xr:uid="{051D0F07-89B5-422A-86B8-8F9C5C03793C}"/>
    <cellStyle name="Normal 7 2 3" xfId="795" xr:uid="{00000000-0005-0000-0000-00006F010000}"/>
    <cellStyle name="Normal 7 2 3 2" xfId="987" xr:uid="{225A9DCA-5E11-4ABB-A7FB-CDFA02DEED8E}"/>
    <cellStyle name="Normal 7 2 4" xfId="877" xr:uid="{00000000-0005-0000-0000-0000A3010000}"/>
    <cellStyle name="Normal 7 2 4 2" xfId="1069" xr:uid="{9E95BC7C-730B-49C5-94F0-6ACCB0319008}"/>
    <cellStyle name="Normal 7 2 5" xfId="953" xr:uid="{F62131E6-78C6-4C59-BAB2-45EB51E163F5}"/>
    <cellStyle name="Normal 7 3" xfId="789" xr:uid="{00000000-0005-0000-0000-00005D010000}"/>
    <cellStyle name="Normal 7 3 2" xfId="981" xr:uid="{6CD2D8E7-60BC-44C7-A14A-6C7314560954}"/>
    <cellStyle name="Normal 7 4" xfId="840" xr:uid="{00000000-0005-0000-0000-00005D010000}"/>
    <cellStyle name="Normal 7 4 2" xfId="1032" xr:uid="{EE24CB00-2779-4B58-AAF7-73F3C81A948C}"/>
    <cellStyle name="Normal 7 5" xfId="847" xr:uid="{00000000-0005-0000-0000-00005D010000}"/>
    <cellStyle name="Normal 7 5 2" xfId="1039" xr:uid="{F944E884-F5CF-439C-B0C6-A5E80DF847A1}"/>
    <cellStyle name="Normal 7 6" xfId="870" xr:uid="{996A0D7A-C742-4B3D-8A19-A74EBE2F8C04}"/>
    <cellStyle name="Normal 7 6 2" xfId="1062" xr:uid="{28BA8BB7-B214-477F-BFF8-10DD7520811E}"/>
    <cellStyle name="Normal 7 7" xfId="921" xr:uid="{608CF4FF-49A2-409A-83A5-91FAE1E58214}"/>
    <cellStyle name="Normal 7 7 2" xfId="1111" xr:uid="{FF21487C-1EAE-4699-BD92-234C9A865156}"/>
    <cellStyle name="Normal 7 8" xfId="946" xr:uid="{BC53FC00-87FD-4710-A8CB-55E001C2D8CD}"/>
    <cellStyle name="Normal 8" xfId="375" xr:uid="{00000000-0005-0000-0000-0000A4010000}"/>
    <cellStyle name="Normal 8 2" xfId="790" xr:uid="{00000000-0005-0000-0000-00005E010000}"/>
    <cellStyle name="Normal 8 2 2" xfId="822" xr:uid="{00000000-0005-0000-0000-000074010000}"/>
    <cellStyle name="Normal 8 2 2 2" xfId="1014" xr:uid="{49039B0C-A475-4044-BA23-40E5433A3AFA}"/>
    <cellStyle name="Normal 8 2 3" xfId="982" xr:uid="{AE14C849-74BF-46E1-A8F8-23604337A960}"/>
    <cellStyle name="Normal 8 3" xfId="814" xr:uid="{00000000-0005-0000-0000-000075010000}"/>
    <cellStyle name="Normal 8 3 2" xfId="1006" xr:uid="{1414F3D1-7FEC-40E7-AA05-90A358D4A814}"/>
    <cellStyle name="Normal 8 4" xfId="841" xr:uid="{00000000-0005-0000-0000-00005E010000}"/>
    <cellStyle name="Normal 8 4 2" xfId="1033" xr:uid="{6C99FC6D-F7A2-4751-B67C-BEA7110F9123}"/>
    <cellStyle name="Normal 8 5" xfId="848" xr:uid="{00000000-0005-0000-0000-00005E010000}"/>
    <cellStyle name="Normal 8 5 2" xfId="1040" xr:uid="{F9759F2D-94FD-4C1A-BF68-81D4853D9BC5}"/>
    <cellStyle name="Normal 8 6" xfId="878" xr:uid="{00000000-0005-0000-0000-0000A4010000}"/>
    <cellStyle name="Normal 8 6 2" xfId="1070" xr:uid="{778A09E1-62D1-4431-8595-E00883D788C8}"/>
    <cellStyle name="Normal 8 7" xfId="922" xr:uid="{8DAB98F4-1E4A-4D37-A787-E6CA549807EA}"/>
    <cellStyle name="Normal 8 7 2" xfId="1112" xr:uid="{BA177F6F-A53A-47EF-8978-28D790BDA884}"/>
    <cellStyle name="Normal 8 8" xfId="954" xr:uid="{16851423-EB2F-47BD-8789-03F55DE57537}"/>
    <cellStyle name="Normal 9" xfId="376" xr:uid="{00000000-0005-0000-0000-0000A5010000}"/>
    <cellStyle name="Normal 9 2" xfId="791" xr:uid="{00000000-0005-0000-0000-00005F010000}"/>
    <cellStyle name="Normal 9 2 2" xfId="823" xr:uid="{00000000-0005-0000-0000-000078010000}"/>
    <cellStyle name="Normal 9 2 2 2" xfId="1015" xr:uid="{B9757307-03A3-4A97-8EEF-D39F78A81666}"/>
    <cellStyle name="Normal 9 2 3" xfId="983" xr:uid="{A461C4EB-D9E0-4A78-A2C8-A694D219047E}"/>
    <cellStyle name="Normal 9 3" xfId="815" xr:uid="{00000000-0005-0000-0000-000079010000}"/>
    <cellStyle name="Normal 9 3 2" xfId="1007" xr:uid="{5C9EE510-3853-4B11-BE74-D0BA2328D71C}"/>
    <cellStyle name="Normal 9 4" xfId="842" xr:uid="{00000000-0005-0000-0000-00005F010000}"/>
    <cellStyle name="Normal 9 4 2" xfId="1034" xr:uid="{7B9D23AC-CD60-4934-9DF0-0C2C7FA7BCD8}"/>
    <cellStyle name="Normal 9 5" xfId="849" xr:uid="{00000000-0005-0000-0000-00005F010000}"/>
    <cellStyle name="Normal 9 5 2" xfId="1041" xr:uid="{16847310-0F05-47E2-8E86-B7092BAB2E9B}"/>
    <cellStyle name="Normal 9 6" xfId="879" xr:uid="{00000000-0005-0000-0000-0000A5010000}"/>
    <cellStyle name="Normal 9 6 2" xfId="1071" xr:uid="{9FD2956A-31D0-4A3E-AB43-3F256214E9CA}"/>
    <cellStyle name="Normal 9 7" xfId="923" xr:uid="{DE61DAA7-E03E-4560-BBAE-FA5F9EEDB057}"/>
    <cellStyle name="Normal 9 7 2" xfId="1113" xr:uid="{1EE07F68-E1D2-4635-992D-D7364A0C4D0C}"/>
    <cellStyle name="Normal 9 8" xfId="955" xr:uid="{397B09E9-1DA6-472C-A6B4-D0FC9CAD3AB2}"/>
    <cellStyle name="Nota 2" xfId="377" xr:uid="{00000000-0005-0000-0000-0000A8010000}"/>
    <cellStyle name="Nota 2 2" xfId="378" xr:uid="{00000000-0005-0000-0000-0000A9010000}"/>
    <cellStyle name="Nota 2 3" xfId="379" xr:uid="{00000000-0005-0000-0000-0000AA010000}"/>
    <cellStyle name="Nota 2 4" xfId="380" xr:uid="{00000000-0005-0000-0000-0000AB010000}"/>
    <cellStyle name="Nota 2 5" xfId="381" xr:uid="{00000000-0005-0000-0000-0000AC010000}"/>
    <cellStyle name="Nota 2 6" xfId="382" xr:uid="{00000000-0005-0000-0000-0000AD010000}"/>
    <cellStyle name="Nota 3" xfId="383" xr:uid="{00000000-0005-0000-0000-0000AE010000}"/>
    <cellStyle name="Nota 3 2" xfId="384" xr:uid="{00000000-0005-0000-0000-0000AF010000}"/>
    <cellStyle name="Nota 3 3" xfId="385" xr:uid="{00000000-0005-0000-0000-0000B0010000}"/>
    <cellStyle name="Nota 3 4" xfId="386" xr:uid="{00000000-0005-0000-0000-0000B1010000}"/>
    <cellStyle name="Nota 3 5" xfId="387" xr:uid="{00000000-0005-0000-0000-0000B2010000}"/>
    <cellStyle name="Nota 3 6" xfId="388" xr:uid="{00000000-0005-0000-0000-0000B3010000}"/>
    <cellStyle name="Nota 4" xfId="389" xr:uid="{00000000-0005-0000-0000-0000B4010000}"/>
    <cellStyle name="Nota 4 2" xfId="390" xr:uid="{00000000-0005-0000-0000-0000B5010000}"/>
    <cellStyle name="Nota 4 3" xfId="391" xr:uid="{00000000-0005-0000-0000-0000B6010000}"/>
    <cellStyle name="Nota 4 4" xfId="392" xr:uid="{00000000-0005-0000-0000-0000B7010000}"/>
    <cellStyle name="Nota 4 5" xfId="393" xr:uid="{00000000-0005-0000-0000-0000B8010000}"/>
    <cellStyle name="Nota 4 6" xfId="394" xr:uid="{00000000-0005-0000-0000-0000B9010000}"/>
    <cellStyle name="Nota 5" xfId="395" xr:uid="{00000000-0005-0000-0000-0000BA010000}"/>
    <cellStyle name="Nota 5 2" xfId="396" xr:uid="{00000000-0005-0000-0000-0000BB010000}"/>
    <cellStyle name="Nota 5 3" xfId="397" xr:uid="{00000000-0005-0000-0000-0000BC010000}"/>
    <cellStyle name="Nota 5 4" xfId="398" xr:uid="{00000000-0005-0000-0000-0000BD010000}"/>
    <cellStyle name="Nota 5 5" xfId="399" xr:uid="{00000000-0005-0000-0000-0000BE010000}"/>
    <cellStyle name="Nota 5 6" xfId="400" xr:uid="{00000000-0005-0000-0000-0000BF010000}"/>
    <cellStyle name="Porcentagem 2" xfId="7" xr:uid="{00000000-0005-0000-0000-00000D000000}"/>
    <cellStyle name="Porcentagem 2 2" xfId="9" xr:uid="{00000000-0005-0000-0000-00000E000000}"/>
    <cellStyle name="Porcentagem 2 3" xfId="15" xr:uid="{00000000-0005-0000-0000-00000F000000}"/>
    <cellStyle name="Porcentagem 2 3 2" xfId="770" xr:uid="{00000000-0005-0000-0000-00000F000000}"/>
    <cellStyle name="Porcentagem 2 3 2 2" xfId="886" xr:uid="{00000000-0005-0000-0000-00000F000000}"/>
    <cellStyle name="Porcentagem 2 3 2 2 2" xfId="1078" xr:uid="{09B71FDE-21BE-4B8B-9D81-136074B8D359}"/>
    <cellStyle name="Porcentagem 2 3 2 3" xfId="962" xr:uid="{906D4680-D235-4EB2-B090-DA82C952CBB6}"/>
    <cellStyle name="Porcentagem 2 3 3" xfId="863" xr:uid="{00000000-0005-0000-0000-00000F000000}"/>
    <cellStyle name="Porcentagem 2 3 3 2" xfId="1055" xr:uid="{685EE80C-CF29-45A2-AD9E-81753DB88E5A}"/>
    <cellStyle name="Porcentagem 2 3 4" xfId="937" xr:uid="{BF2441EF-2B7C-4598-B9F3-25A6865D8318}"/>
    <cellStyle name="Porcentagem 2 4" xfId="766" xr:uid="{00000000-0005-0000-0000-00000D000000}"/>
    <cellStyle name="Porcentagem 2 4 2" xfId="882" xr:uid="{00000000-0005-0000-0000-00000D000000}"/>
    <cellStyle name="Porcentagem 2 4 2 2" xfId="1074" xr:uid="{E802CB39-14EE-44A8-9555-0EDDA4B85CBC}"/>
    <cellStyle name="Porcentagem 2 4 3" xfId="958" xr:uid="{A128A50F-CE58-4F55-9EFD-E9FC14A42E58}"/>
    <cellStyle name="Porcentagem 2 5" xfId="859" xr:uid="{00000000-0005-0000-0000-00000D000000}"/>
    <cellStyle name="Porcentagem 2 5 2" xfId="1051" xr:uid="{F9010504-9B5D-489F-8560-65F364B75436}"/>
    <cellStyle name="Porcentagem 2 6" xfId="930" xr:uid="{441A8A21-9DD9-49DD-A7CF-55DF5487D910}"/>
    <cellStyle name="Porcentagem 3" xfId="24" xr:uid="{E6FFF3FD-8DFE-4195-A300-E024F6110529}"/>
    <cellStyle name="Porcentagem 3 2" xfId="776" xr:uid="{E6FFF3FD-8DFE-4195-A300-E024F6110529}"/>
    <cellStyle name="Porcentagem 3 2 2" xfId="892" xr:uid="{E6FFF3FD-8DFE-4195-A300-E024F6110529}"/>
    <cellStyle name="Porcentagem 3 2 2 2" xfId="1084" xr:uid="{44631C1A-8653-49FC-AB7F-6A556A0A0910}"/>
    <cellStyle name="Porcentagem 3 2 3" xfId="968" xr:uid="{6F51A81C-2EB5-49C1-961F-CBEAD542EF09}"/>
    <cellStyle name="Porcentagem 3 3" xfId="869" xr:uid="{E6FFF3FD-8DFE-4195-A300-E024F6110529}"/>
    <cellStyle name="Porcentagem 3 3 2" xfId="1061" xr:uid="{EB6CB688-062E-41A9-9279-4135100C9A61}"/>
    <cellStyle name="Porcentagem 3 4" xfId="945" xr:uid="{C1345BA5-4658-4944-8B75-1344E81BA8DE}"/>
    <cellStyle name="Porcentagem 4" xfId="913" xr:uid="{E6C974DC-06C9-4EA4-BDF3-C83D2E594241}"/>
    <cellStyle name="Porcentagem 4 2" xfId="1104" xr:uid="{31698A3C-6C7B-4129-8CD5-609F4876B233}"/>
    <cellStyle name="Saída 2" xfId="401" xr:uid="{00000000-0005-0000-0000-0000C0010000}"/>
    <cellStyle name="Saída 2 2" xfId="402" xr:uid="{00000000-0005-0000-0000-0000C1010000}"/>
    <cellStyle name="Saída 2 3" xfId="403" xr:uid="{00000000-0005-0000-0000-0000C2010000}"/>
    <cellStyle name="Saída 2 4" xfId="404" xr:uid="{00000000-0005-0000-0000-0000C3010000}"/>
    <cellStyle name="Saída 2 5" xfId="405" xr:uid="{00000000-0005-0000-0000-0000C4010000}"/>
    <cellStyle name="Saída 2 6" xfId="406" xr:uid="{00000000-0005-0000-0000-0000C5010000}"/>
    <cellStyle name="Saída 3" xfId="407" xr:uid="{00000000-0005-0000-0000-0000C6010000}"/>
    <cellStyle name="Saída 3 2" xfId="408" xr:uid="{00000000-0005-0000-0000-0000C7010000}"/>
    <cellStyle name="Saída 3 3" xfId="409" xr:uid="{00000000-0005-0000-0000-0000C8010000}"/>
    <cellStyle name="Saída 3 4" xfId="410" xr:uid="{00000000-0005-0000-0000-0000C9010000}"/>
    <cellStyle name="Saída 3 5" xfId="411" xr:uid="{00000000-0005-0000-0000-0000CA010000}"/>
    <cellStyle name="Saída 3 6" xfId="412" xr:uid="{00000000-0005-0000-0000-0000CB010000}"/>
    <cellStyle name="Saída 4" xfId="413" xr:uid="{00000000-0005-0000-0000-0000CC010000}"/>
    <cellStyle name="Saída 4 2" xfId="414" xr:uid="{00000000-0005-0000-0000-0000CD010000}"/>
    <cellStyle name="Saída 4 3" xfId="415" xr:uid="{00000000-0005-0000-0000-0000CE010000}"/>
    <cellStyle name="Saída 4 4" xfId="416" xr:uid="{00000000-0005-0000-0000-0000CF010000}"/>
    <cellStyle name="Saída 4 5" xfId="417" xr:uid="{00000000-0005-0000-0000-0000D0010000}"/>
    <cellStyle name="Saída 4 6" xfId="418" xr:uid="{00000000-0005-0000-0000-0000D1010000}"/>
    <cellStyle name="Saída 5" xfId="419" xr:uid="{00000000-0005-0000-0000-0000D2010000}"/>
    <cellStyle name="Saída 5 2" xfId="420" xr:uid="{00000000-0005-0000-0000-0000D3010000}"/>
    <cellStyle name="Saída 5 3" xfId="421" xr:uid="{00000000-0005-0000-0000-0000D4010000}"/>
    <cellStyle name="Saída 5 4" xfId="422" xr:uid="{00000000-0005-0000-0000-0000D5010000}"/>
    <cellStyle name="Saída 5 5" xfId="423" xr:uid="{00000000-0005-0000-0000-0000D6010000}"/>
    <cellStyle name="Saída 5 6" xfId="424" xr:uid="{00000000-0005-0000-0000-0000D7010000}"/>
    <cellStyle name="SAPBEXaggData" xfId="425" xr:uid="{00000000-0005-0000-0000-0000D8010000}"/>
    <cellStyle name="SAPBEXaggData 2" xfId="426" xr:uid="{00000000-0005-0000-0000-0000D9010000}"/>
    <cellStyle name="SAPBEXaggData 3" xfId="427" xr:uid="{00000000-0005-0000-0000-0000DA010000}"/>
    <cellStyle name="SAPBEXaggData 4" xfId="428" xr:uid="{00000000-0005-0000-0000-0000DB010000}"/>
    <cellStyle name="SAPBEXaggData 5" xfId="429" xr:uid="{00000000-0005-0000-0000-0000DC010000}"/>
    <cellStyle name="SAPBEXaggData 6" xfId="430" xr:uid="{00000000-0005-0000-0000-0000DD010000}"/>
    <cellStyle name="SAPBEXaggDataEmph" xfId="431" xr:uid="{00000000-0005-0000-0000-0000DE010000}"/>
    <cellStyle name="SAPBEXaggItem" xfId="432" xr:uid="{00000000-0005-0000-0000-0000DF010000}"/>
    <cellStyle name="SAPBEXaggItem 2" xfId="433" xr:uid="{00000000-0005-0000-0000-0000E0010000}"/>
    <cellStyle name="SAPBEXaggItem 3" xfId="434" xr:uid="{00000000-0005-0000-0000-0000E1010000}"/>
    <cellStyle name="SAPBEXaggItem 4" xfId="435" xr:uid="{00000000-0005-0000-0000-0000E2010000}"/>
    <cellStyle name="SAPBEXaggItem 5" xfId="436" xr:uid="{00000000-0005-0000-0000-0000E3010000}"/>
    <cellStyle name="SAPBEXaggItem 6" xfId="437" xr:uid="{00000000-0005-0000-0000-0000E4010000}"/>
    <cellStyle name="SAPBEXaggItemX" xfId="438" xr:uid="{00000000-0005-0000-0000-0000E5010000}"/>
    <cellStyle name="SAPBEXchaText" xfId="439" xr:uid="{00000000-0005-0000-0000-0000E6010000}"/>
    <cellStyle name="SAPBEXchaText 2" xfId="440" xr:uid="{00000000-0005-0000-0000-0000E7010000}"/>
    <cellStyle name="SAPBEXchaText 3" xfId="441" xr:uid="{00000000-0005-0000-0000-0000E8010000}"/>
    <cellStyle name="SAPBEXchaText 4" xfId="442" xr:uid="{00000000-0005-0000-0000-0000E9010000}"/>
    <cellStyle name="SAPBEXchaText 5" xfId="443" xr:uid="{00000000-0005-0000-0000-0000EA010000}"/>
    <cellStyle name="SAPBEXchaText 6" xfId="444" xr:uid="{00000000-0005-0000-0000-0000EB010000}"/>
    <cellStyle name="SAPBEXexcBad7" xfId="445" xr:uid="{00000000-0005-0000-0000-0000EC010000}"/>
    <cellStyle name="SAPBEXexcBad7 2" xfId="446" xr:uid="{00000000-0005-0000-0000-0000ED010000}"/>
    <cellStyle name="SAPBEXexcBad7 3" xfId="447" xr:uid="{00000000-0005-0000-0000-0000EE010000}"/>
    <cellStyle name="SAPBEXexcBad7 4" xfId="448" xr:uid="{00000000-0005-0000-0000-0000EF010000}"/>
    <cellStyle name="SAPBEXexcBad7 5" xfId="449" xr:uid="{00000000-0005-0000-0000-0000F0010000}"/>
    <cellStyle name="SAPBEXexcBad7 6" xfId="450" xr:uid="{00000000-0005-0000-0000-0000F1010000}"/>
    <cellStyle name="SAPBEXexcBad8" xfId="451" xr:uid="{00000000-0005-0000-0000-0000F2010000}"/>
    <cellStyle name="SAPBEXexcBad8 2" xfId="452" xr:uid="{00000000-0005-0000-0000-0000F3010000}"/>
    <cellStyle name="SAPBEXexcBad8 3" xfId="453" xr:uid="{00000000-0005-0000-0000-0000F4010000}"/>
    <cellStyle name="SAPBEXexcBad8 4" xfId="454" xr:uid="{00000000-0005-0000-0000-0000F5010000}"/>
    <cellStyle name="SAPBEXexcBad8 5" xfId="455" xr:uid="{00000000-0005-0000-0000-0000F6010000}"/>
    <cellStyle name="SAPBEXexcBad8 6" xfId="456" xr:uid="{00000000-0005-0000-0000-0000F7010000}"/>
    <cellStyle name="SAPBEXexcBad9" xfId="457" xr:uid="{00000000-0005-0000-0000-0000F8010000}"/>
    <cellStyle name="SAPBEXexcBad9 2" xfId="458" xr:uid="{00000000-0005-0000-0000-0000F9010000}"/>
    <cellStyle name="SAPBEXexcBad9 3" xfId="459" xr:uid="{00000000-0005-0000-0000-0000FA010000}"/>
    <cellStyle name="SAPBEXexcBad9 4" xfId="460" xr:uid="{00000000-0005-0000-0000-0000FB010000}"/>
    <cellStyle name="SAPBEXexcBad9 5" xfId="461" xr:uid="{00000000-0005-0000-0000-0000FC010000}"/>
    <cellStyle name="SAPBEXexcBad9 6" xfId="462" xr:uid="{00000000-0005-0000-0000-0000FD010000}"/>
    <cellStyle name="SAPBEXexcCritical4" xfId="463" xr:uid="{00000000-0005-0000-0000-0000FE010000}"/>
    <cellStyle name="SAPBEXexcCritical4 2" xfId="464" xr:uid="{00000000-0005-0000-0000-0000FF010000}"/>
    <cellStyle name="SAPBEXexcCritical4 3" xfId="465" xr:uid="{00000000-0005-0000-0000-000000020000}"/>
    <cellStyle name="SAPBEXexcCritical4 4" xfId="466" xr:uid="{00000000-0005-0000-0000-000001020000}"/>
    <cellStyle name="SAPBEXexcCritical4 5" xfId="467" xr:uid="{00000000-0005-0000-0000-000002020000}"/>
    <cellStyle name="SAPBEXexcCritical4 6" xfId="468" xr:uid="{00000000-0005-0000-0000-000003020000}"/>
    <cellStyle name="SAPBEXexcCritical5" xfId="469" xr:uid="{00000000-0005-0000-0000-000004020000}"/>
    <cellStyle name="SAPBEXexcCritical5 2" xfId="470" xr:uid="{00000000-0005-0000-0000-000005020000}"/>
    <cellStyle name="SAPBEXexcCritical5 3" xfId="471" xr:uid="{00000000-0005-0000-0000-000006020000}"/>
    <cellStyle name="SAPBEXexcCritical5 4" xfId="472" xr:uid="{00000000-0005-0000-0000-000007020000}"/>
    <cellStyle name="SAPBEXexcCritical5 5" xfId="473" xr:uid="{00000000-0005-0000-0000-000008020000}"/>
    <cellStyle name="SAPBEXexcCritical5 6" xfId="474" xr:uid="{00000000-0005-0000-0000-000009020000}"/>
    <cellStyle name="SAPBEXexcCritical6" xfId="475" xr:uid="{00000000-0005-0000-0000-00000A020000}"/>
    <cellStyle name="SAPBEXexcCritical6 2" xfId="476" xr:uid="{00000000-0005-0000-0000-00000B020000}"/>
    <cellStyle name="SAPBEXexcCritical6 3" xfId="477" xr:uid="{00000000-0005-0000-0000-00000C020000}"/>
    <cellStyle name="SAPBEXexcCritical6 4" xfId="478" xr:uid="{00000000-0005-0000-0000-00000D020000}"/>
    <cellStyle name="SAPBEXexcCritical6 5" xfId="479" xr:uid="{00000000-0005-0000-0000-00000E020000}"/>
    <cellStyle name="SAPBEXexcCritical6 6" xfId="480" xr:uid="{00000000-0005-0000-0000-00000F020000}"/>
    <cellStyle name="SAPBEXexcGood1" xfId="481" xr:uid="{00000000-0005-0000-0000-000010020000}"/>
    <cellStyle name="SAPBEXexcGood1 2" xfId="482" xr:uid="{00000000-0005-0000-0000-000011020000}"/>
    <cellStyle name="SAPBEXexcGood1 3" xfId="483" xr:uid="{00000000-0005-0000-0000-000012020000}"/>
    <cellStyle name="SAPBEXexcGood1 4" xfId="484" xr:uid="{00000000-0005-0000-0000-000013020000}"/>
    <cellStyle name="SAPBEXexcGood1 5" xfId="485" xr:uid="{00000000-0005-0000-0000-000014020000}"/>
    <cellStyle name="SAPBEXexcGood1 6" xfId="486" xr:uid="{00000000-0005-0000-0000-000015020000}"/>
    <cellStyle name="SAPBEXexcGood2" xfId="487" xr:uid="{00000000-0005-0000-0000-000016020000}"/>
    <cellStyle name="SAPBEXexcGood2 2" xfId="488" xr:uid="{00000000-0005-0000-0000-000017020000}"/>
    <cellStyle name="SAPBEXexcGood2 3" xfId="489" xr:uid="{00000000-0005-0000-0000-000018020000}"/>
    <cellStyle name="SAPBEXexcGood2 4" xfId="490" xr:uid="{00000000-0005-0000-0000-000019020000}"/>
    <cellStyle name="SAPBEXexcGood2 5" xfId="491" xr:uid="{00000000-0005-0000-0000-00001A020000}"/>
    <cellStyle name="SAPBEXexcGood2 6" xfId="492" xr:uid="{00000000-0005-0000-0000-00001B020000}"/>
    <cellStyle name="SAPBEXexcGood3" xfId="493" xr:uid="{00000000-0005-0000-0000-00001C020000}"/>
    <cellStyle name="SAPBEXexcGood3 2" xfId="494" xr:uid="{00000000-0005-0000-0000-00001D020000}"/>
    <cellStyle name="SAPBEXexcGood3 3" xfId="495" xr:uid="{00000000-0005-0000-0000-00001E020000}"/>
    <cellStyle name="SAPBEXexcGood3 4" xfId="496" xr:uid="{00000000-0005-0000-0000-00001F020000}"/>
    <cellStyle name="SAPBEXexcGood3 5" xfId="497" xr:uid="{00000000-0005-0000-0000-000020020000}"/>
    <cellStyle name="SAPBEXexcGood3 6" xfId="498" xr:uid="{00000000-0005-0000-0000-000021020000}"/>
    <cellStyle name="SAPBEXfilterDrill" xfId="499" xr:uid="{00000000-0005-0000-0000-000022020000}"/>
    <cellStyle name="SAPBEXfilterDrill 2" xfId="500" xr:uid="{00000000-0005-0000-0000-000023020000}"/>
    <cellStyle name="SAPBEXfilterDrill 3" xfId="501" xr:uid="{00000000-0005-0000-0000-000024020000}"/>
    <cellStyle name="SAPBEXfilterDrill 4" xfId="502" xr:uid="{00000000-0005-0000-0000-000025020000}"/>
    <cellStyle name="SAPBEXfilterDrill 5" xfId="503" xr:uid="{00000000-0005-0000-0000-000026020000}"/>
    <cellStyle name="SAPBEXfilterDrill 6" xfId="504" xr:uid="{00000000-0005-0000-0000-000027020000}"/>
    <cellStyle name="SAPBEXfilterItem" xfId="505" xr:uid="{00000000-0005-0000-0000-000028020000}"/>
    <cellStyle name="SAPBEXfilterText" xfId="506" xr:uid="{00000000-0005-0000-0000-000029020000}"/>
    <cellStyle name="SAPBEXformats" xfId="507" xr:uid="{00000000-0005-0000-0000-00002A020000}"/>
    <cellStyle name="SAPBEXformats 2" xfId="508" xr:uid="{00000000-0005-0000-0000-00002B020000}"/>
    <cellStyle name="SAPBEXformats 3" xfId="509" xr:uid="{00000000-0005-0000-0000-00002C020000}"/>
    <cellStyle name="SAPBEXformats 4" xfId="510" xr:uid="{00000000-0005-0000-0000-00002D020000}"/>
    <cellStyle name="SAPBEXformats 5" xfId="511" xr:uid="{00000000-0005-0000-0000-00002E020000}"/>
    <cellStyle name="SAPBEXformats 6" xfId="512" xr:uid="{00000000-0005-0000-0000-00002F020000}"/>
    <cellStyle name="SAPBEXheaderItem" xfId="513" xr:uid="{00000000-0005-0000-0000-000030020000}"/>
    <cellStyle name="SAPBEXheaderItem 2" xfId="514" xr:uid="{00000000-0005-0000-0000-000031020000}"/>
    <cellStyle name="SAPBEXheaderItem 3" xfId="515" xr:uid="{00000000-0005-0000-0000-000032020000}"/>
    <cellStyle name="SAPBEXheaderItem 4" xfId="516" xr:uid="{00000000-0005-0000-0000-000033020000}"/>
    <cellStyle name="SAPBEXheaderItem 5" xfId="517" xr:uid="{00000000-0005-0000-0000-000034020000}"/>
    <cellStyle name="SAPBEXheaderItem 6" xfId="518" xr:uid="{00000000-0005-0000-0000-000035020000}"/>
    <cellStyle name="SAPBEXheaderText" xfId="519" xr:uid="{00000000-0005-0000-0000-000036020000}"/>
    <cellStyle name="SAPBEXheaderText 2" xfId="520" xr:uid="{00000000-0005-0000-0000-000037020000}"/>
    <cellStyle name="SAPBEXheaderText 3" xfId="521" xr:uid="{00000000-0005-0000-0000-000038020000}"/>
    <cellStyle name="SAPBEXheaderText 4" xfId="522" xr:uid="{00000000-0005-0000-0000-000039020000}"/>
    <cellStyle name="SAPBEXheaderText 5" xfId="523" xr:uid="{00000000-0005-0000-0000-00003A020000}"/>
    <cellStyle name="SAPBEXheaderText 6" xfId="524" xr:uid="{00000000-0005-0000-0000-00003B020000}"/>
    <cellStyle name="SAPBEXHLevel0" xfId="525" xr:uid="{00000000-0005-0000-0000-00003C020000}"/>
    <cellStyle name="SAPBEXHLevel0 2" xfId="526" xr:uid="{00000000-0005-0000-0000-00003D020000}"/>
    <cellStyle name="SAPBEXHLevel0 3" xfId="527" xr:uid="{00000000-0005-0000-0000-00003E020000}"/>
    <cellStyle name="SAPBEXHLevel0 4" xfId="528" xr:uid="{00000000-0005-0000-0000-00003F020000}"/>
    <cellStyle name="SAPBEXHLevel0 5" xfId="529" xr:uid="{00000000-0005-0000-0000-000040020000}"/>
    <cellStyle name="SAPBEXHLevel0 6" xfId="530" xr:uid="{00000000-0005-0000-0000-000041020000}"/>
    <cellStyle name="SAPBEXHLevel0X" xfId="531" xr:uid="{00000000-0005-0000-0000-000042020000}"/>
    <cellStyle name="SAPBEXHLevel0X 2" xfId="532" xr:uid="{00000000-0005-0000-0000-000043020000}"/>
    <cellStyle name="SAPBEXHLevel0X 3" xfId="533" xr:uid="{00000000-0005-0000-0000-000044020000}"/>
    <cellStyle name="SAPBEXHLevel0X 4" xfId="534" xr:uid="{00000000-0005-0000-0000-000045020000}"/>
    <cellStyle name="SAPBEXHLevel0X 5" xfId="535" xr:uid="{00000000-0005-0000-0000-000046020000}"/>
    <cellStyle name="SAPBEXHLevel0X 6" xfId="536" xr:uid="{00000000-0005-0000-0000-000047020000}"/>
    <cellStyle name="SAPBEXHLevel1" xfId="537" xr:uid="{00000000-0005-0000-0000-000048020000}"/>
    <cellStyle name="SAPBEXHLevel1 2" xfId="538" xr:uid="{00000000-0005-0000-0000-000049020000}"/>
    <cellStyle name="SAPBEXHLevel1 3" xfId="539" xr:uid="{00000000-0005-0000-0000-00004A020000}"/>
    <cellStyle name="SAPBEXHLevel1 4" xfId="540" xr:uid="{00000000-0005-0000-0000-00004B020000}"/>
    <cellStyle name="SAPBEXHLevel1 5" xfId="541" xr:uid="{00000000-0005-0000-0000-00004C020000}"/>
    <cellStyle name="SAPBEXHLevel1 6" xfId="542" xr:uid="{00000000-0005-0000-0000-00004D020000}"/>
    <cellStyle name="SAPBEXHLevel1X" xfId="543" xr:uid="{00000000-0005-0000-0000-00004E020000}"/>
    <cellStyle name="SAPBEXHLevel1X 2" xfId="544" xr:uid="{00000000-0005-0000-0000-00004F020000}"/>
    <cellStyle name="SAPBEXHLevel1X 3" xfId="545" xr:uid="{00000000-0005-0000-0000-000050020000}"/>
    <cellStyle name="SAPBEXHLevel1X 4" xfId="546" xr:uid="{00000000-0005-0000-0000-000051020000}"/>
    <cellStyle name="SAPBEXHLevel1X 5" xfId="547" xr:uid="{00000000-0005-0000-0000-000052020000}"/>
    <cellStyle name="SAPBEXHLevel1X 6" xfId="548" xr:uid="{00000000-0005-0000-0000-000053020000}"/>
    <cellStyle name="SAPBEXHLevel2" xfId="549" xr:uid="{00000000-0005-0000-0000-000054020000}"/>
    <cellStyle name="SAPBEXHLevel2 2" xfId="550" xr:uid="{00000000-0005-0000-0000-000055020000}"/>
    <cellStyle name="SAPBEXHLevel2 3" xfId="551" xr:uid="{00000000-0005-0000-0000-000056020000}"/>
    <cellStyle name="SAPBEXHLevel2 4" xfId="552" xr:uid="{00000000-0005-0000-0000-000057020000}"/>
    <cellStyle name="SAPBEXHLevel2 5" xfId="553" xr:uid="{00000000-0005-0000-0000-000058020000}"/>
    <cellStyle name="SAPBEXHLevel2 6" xfId="554" xr:uid="{00000000-0005-0000-0000-000059020000}"/>
    <cellStyle name="SAPBEXHLevel2X" xfId="555" xr:uid="{00000000-0005-0000-0000-00005A020000}"/>
    <cellStyle name="SAPBEXHLevel2X 2" xfId="556" xr:uid="{00000000-0005-0000-0000-00005B020000}"/>
    <cellStyle name="SAPBEXHLevel2X 3" xfId="557" xr:uid="{00000000-0005-0000-0000-00005C020000}"/>
    <cellStyle name="SAPBEXHLevel2X 4" xfId="558" xr:uid="{00000000-0005-0000-0000-00005D020000}"/>
    <cellStyle name="SAPBEXHLevel2X 5" xfId="559" xr:uid="{00000000-0005-0000-0000-00005E020000}"/>
    <cellStyle name="SAPBEXHLevel2X 6" xfId="560" xr:uid="{00000000-0005-0000-0000-00005F020000}"/>
    <cellStyle name="SAPBEXHLevel3" xfId="561" xr:uid="{00000000-0005-0000-0000-000060020000}"/>
    <cellStyle name="SAPBEXHLevel3 2" xfId="562" xr:uid="{00000000-0005-0000-0000-000061020000}"/>
    <cellStyle name="SAPBEXHLevel3 3" xfId="563" xr:uid="{00000000-0005-0000-0000-000062020000}"/>
    <cellStyle name="SAPBEXHLevel3 4" xfId="564" xr:uid="{00000000-0005-0000-0000-000063020000}"/>
    <cellStyle name="SAPBEXHLevel3 5" xfId="565" xr:uid="{00000000-0005-0000-0000-000064020000}"/>
    <cellStyle name="SAPBEXHLevel3 6" xfId="566" xr:uid="{00000000-0005-0000-0000-000065020000}"/>
    <cellStyle name="SAPBEXHLevel3X" xfId="567" xr:uid="{00000000-0005-0000-0000-000066020000}"/>
    <cellStyle name="SAPBEXHLevel3X 2" xfId="568" xr:uid="{00000000-0005-0000-0000-000067020000}"/>
    <cellStyle name="SAPBEXHLevel3X 3" xfId="569" xr:uid="{00000000-0005-0000-0000-000068020000}"/>
    <cellStyle name="SAPBEXHLevel3X 4" xfId="570" xr:uid="{00000000-0005-0000-0000-000069020000}"/>
    <cellStyle name="SAPBEXHLevel3X 5" xfId="571" xr:uid="{00000000-0005-0000-0000-00006A020000}"/>
    <cellStyle name="SAPBEXHLevel3X 6" xfId="572" xr:uid="{00000000-0005-0000-0000-00006B020000}"/>
    <cellStyle name="SAPBEXinputData" xfId="573" xr:uid="{00000000-0005-0000-0000-00006C020000}"/>
    <cellStyle name="SAPBEXinputData 2" xfId="574" xr:uid="{00000000-0005-0000-0000-00006D020000}"/>
    <cellStyle name="SAPBEXinputData 3" xfId="575" xr:uid="{00000000-0005-0000-0000-00006E020000}"/>
    <cellStyle name="SAPBEXinputData 4" xfId="576" xr:uid="{00000000-0005-0000-0000-00006F020000}"/>
    <cellStyle name="SAPBEXinputData 5" xfId="577" xr:uid="{00000000-0005-0000-0000-000070020000}"/>
    <cellStyle name="SAPBEXinputData 6" xfId="578" xr:uid="{00000000-0005-0000-0000-000071020000}"/>
    <cellStyle name="SAPBEXItemHeader" xfId="579" xr:uid="{00000000-0005-0000-0000-000072020000}"/>
    <cellStyle name="SAPBEXresData" xfId="580" xr:uid="{00000000-0005-0000-0000-000073020000}"/>
    <cellStyle name="SAPBEXresDataEmph" xfId="581" xr:uid="{00000000-0005-0000-0000-000074020000}"/>
    <cellStyle name="SAPBEXresItem" xfId="582" xr:uid="{00000000-0005-0000-0000-000075020000}"/>
    <cellStyle name="SAPBEXresItemX" xfId="583" xr:uid="{00000000-0005-0000-0000-000076020000}"/>
    <cellStyle name="SAPBEXstdData" xfId="584" xr:uid="{00000000-0005-0000-0000-000077020000}"/>
    <cellStyle name="SAPBEXstdData 2" xfId="585" xr:uid="{00000000-0005-0000-0000-000078020000}"/>
    <cellStyle name="SAPBEXstdData 3" xfId="586" xr:uid="{00000000-0005-0000-0000-000079020000}"/>
    <cellStyle name="SAPBEXstdData 4" xfId="587" xr:uid="{00000000-0005-0000-0000-00007A020000}"/>
    <cellStyle name="SAPBEXstdData 5" xfId="588" xr:uid="{00000000-0005-0000-0000-00007B020000}"/>
    <cellStyle name="SAPBEXstdData 6" xfId="589" xr:uid="{00000000-0005-0000-0000-00007C020000}"/>
    <cellStyle name="SAPBEXstdDataEmph" xfId="590" xr:uid="{00000000-0005-0000-0000-00007D020000}"/>
    <cellStyle name="SAPBEXstdItem" xfId="591" xr:uid="{00000000-0005-0000-0000-00007E020000}"/>
    <cellStyle name="SAPBEXstdItem 2" xfId="592" xr:uid="{00000000-0005-0000-0000-00007F020000}"/>
    <cellStyle name="SAPBEXstdItem 3" xfId="593" xr:uid="{00000000-0005-0000-0000-000080020000}"/>
    <cellStyle name="SAPBEXstdItem 4" xfId="594" xr:uid="{00000000-0005-0000-0000-000081020000}"/>
    <cellStyle name="SAPBEXstdItem 5" xfId="595" xr:uid="{00000000-0005-0000-0000-000082020000}"/>
    <cellStyle name="SAPBEXstdItem 6" xfId="596" xr:uid="{00000000-0005-0000-0000-000083020000}"/>
    <cellStyle name="SAPBEXstdItemX" xfId="597" xr:uid="{00000000-0005-0000-0000-000084020000}"/>
    <cellStyle name="SAPBEXtitle" xfId="598" xr:uid="{00000000-0005-0000-0000-000085020000}"/>
    <cellStyle name="SAPBEXunassignedItem" xfId="599" xr:uid="{00000000-0005-0000-0000-000086020000}"/>
    <cellStyle name="SAPBEXunassignedItem 2" xfId="600" xr:uid="{00000000-0005-0000-0000-000087020000}"/>
    <cellStyle name="SAPBEXunassignedItem 3" xfId="601" xr:uid="{00000000-0005-0000-0000-000088020000}"/>
    <cellStyle name="SAPBEXunassignedItem 4" xfId="602" xr:uid="{00000000-0005-0000-0000-000089020000}"/>
    <cellStyle name="SAPBEXunassignedItem 5" xfId="603" xr:uid="{00000000-0005-0000-0000-00008A020000}"/>
    <cellStyle name="SAPBEXunassignedItem 6" xfId="604" xr:uid="{00000000-0005-0000-0000-00008B020000}"/>
    <cellStyle name="SAPBEXundefined" xfId="605" xr:uid="{00000000-0005-0000-0000-00008C020000}"/>
    <cellStyle name="Separador de milhares 2" xfId="606" xr:uid="{00000000-0005-0000-0000-00008D020000}"/>
    <cellStyle name="Separador de milhares 2 2" xfId="607" xr:uid="{00000000-0005-0000-0000-00008E020000}"/>
    <cellStyle name="Separador de milhares 2 2 2" xfId="608" xr:uid="{00000000-0005-0000-0000-00008F020000}"/>
    <cellStyle name="Separador de milhares 2 2 2 2" xfId="798" xr:uid="{00000000-0005-0000-0000-000065020000}"/>
    <cellStyle name="Separador de milhares 2 2 2 2 2" xfId="826" xr:uid="{00000000-0005-0000-0000-000066020000}"/>
    <cellStyle name="Separador de milhares 2 2 2 2 2 2" xfId="1018" xr:uid="{67309AD8-E5EA-4F88-91D2-1D7725C681EC}"/>
    <cellStyle name="Separador de milhares 2 2 2 2 3" xfId="990" xr:uid="{FD3EE90D-0362-4CEB-9E4B-04900E1DD531}"/>
    <cellStyle name="Separador de milhares 2 2 3" xfId="609" xr:uid="{00000000-0005-0000-0000-000090020000}"/>
    <cellStyle name="Separador de milhares 2 2 3 2" xfId="799" xr:uid="{00000000-0005-0000-0000-000068020000}"/>
    <cellStyle name="Separador de milhares 2 2 3 2 2" xfId="827" xr:uid="{00000000-0005-0000-0000-000069020000}"/>
    <cellStyle name="Separador de milhares 2 2 3 2 2 2" xfId="1019" xr:uid="{D6944C94-CD7D-412B-BAD9-3FBDCFC15899}"/>
    <cellStyle name="Separador de milhares 2 2 3 2 3" xfId="991" xr:uid="{C5F1252A-821C-436D-B019-CEA46416C549}"/>
    <cellStyle name="Separador de milhares 2 2 4" xfId="610" xr:uid="{00000000-0005-0000-0000-000091020000}"/>
    <cellStyle name="Separador de milhares 2 2 4 2" xfId="800" xr:uid="{00000000-0005-0000-0000-00006B020000}"/>
    <cellStyle name="Separador de milhares 2 2 4 2 2" xfId="828" xr:uid="{00000000-0005-0000-0000-00006C020000}"/>
    <cellStyle name="Separador de milhares 2 2 4 2 2 2" xfId="1020" xr:uid="{8A3527A4-85B2-49A1-A802-AEE741E9D1E8}"/>
    <cellStyle name="Separador de milhares 2 2 4 2 3" xfId="992" xr:uid="{921BC7B8-77C7-4D77-9102-1EF5733693A5}"/>
    <cellStyle name="Separador de milhares 2 2 5" xfId="797" xr:uid="{00000000-0005-0000-0000-00006D020000}"/>
    <cellStyle name="Separador de milhares 2 2 5 2" xfId="825" xr:uid="{00000000-0005-0000-0000-00006E020000}"/>
    <cellStyle name="Separador de milhares 2 2 5 2 2" xfId="1017" xr:uid="{F4509222-EECE-42E1-A4BB-A75039B89699}"/>
    <cellStyle name="Separador de milhares 2 2 5 3" xfId="989" xr:uid="{79E7A30C-6184-43D7-963D-1861AC1080DA}"/>
    <cellStyle name="Separador de milhares 2 3" xfId="611" xr:uid="{00000000-0005-0000-0000-000092020000}"/>
    <cellStyle name="Separador de milhares 2 3 2" xfId="801" xr:uid="{00000000-0005-0000-0000-000070020000}"/>
    <cellStyle name="Separador de milhares 2 3 2 2" xfId="829" xr:uid="{00000000-0005-0000-0000-000071020000}"/>
    <cellStyle name="Separador de milhares 2 3 2 2 2" xfId="1021" xr:uid="{134EF1F4-105F-43A4-A90B-B0A06DF285EC}"/>
    <cellStyle name="Separador de milhares 2 3 2 3" xfId="993" xr:uid="{FAD843F7-F1B8-427B-B70D-05DDB3401F7C}"/>
    <cellStyle name="Separador de milhares 2 4" xfId="612" xr:uid="{00000000-0005-0000-0000-000093020000}"/>
    <cellStyle name="Separador de milhares 2 4 2" xfId="802" xr:uid="{00000000-0005-0000-0000-000073020000}"/>
    <cellStyle name="Separador de milhares 2 4 2 2" xfId="830" xr:uid="{00000000-0005-0000-0000-000074020000}"/>
    <cellStyle name="Separador de milhares 2 4 2 2 2" xfId="1022" xr:uid="{8D23F9A7-75D5-4C9D-A077-8F12082D5650}"/>
    <cellStyle name="Separador de milhares 2 4 2 3" xfId="994" xr:uid="{D33B0E3D-5D2E-4AA5-9E16-5B0661F943FA}"/>
    <cellStyle name="Separador de milhares 2 5" xfId="613" xr:uid="{00000000-0005-0000-0000-000094020000}"/>
    <cellStyle name="Separador de milhares 2 5 2" xfId="803" xr:uid="{00000000-0005-0000-0000-000076020000}"/>
    <cellStyle name="Separador de milhares 2 5 2 2" xfId="831" xr:uid="{00000000-0005-0000-0000-000077020000}"/>
    <cellStyle name="Separador de milhares 2 5 2 2 2" xfId="1023" xr:uid="{61CEE54A-14DA-4772-8D2E-C71B24BDBCE2}"/>
    <cellStyle name="Separador de milhares 2 5 2 3" xfId="995" xr:uid="{B6E78720-119D-4C51-B48D-77AC8529E289}"/>
    <cellStyle name="Separador de milhares 2 6" xfId="614" xr:uid="{00000000-0005-0000-0000-000095020000}"/>
    <cellStyle name="Separador de milhares 2 6 2" xfId="804" xr:uid="{00000000-0005-0000-0000-000079020000}"/>
    <cellStyle name="Separador de milhares 2 6 2 2" xfId="832" xr:uid="{00000000-0005-0000-0000-00007A020000}"/>
    <cellStyle name="Separador de milhares 2 6 2 2 2" xfId="1024" xr:uid="{26E2C187-CB5C-49E4-A886-B922B4B9C20B}"/>
    <cellStyle name="Separador de milhares 2 6 2 3" xfId="996" xr:uid="{58486536-C4E9-4107-91B2-773D7E063800}"/>
    <cellStyle name="Separador de milhares 2 7" xfId="615" xr:uid="{00000000-0005-0000-0000-000096020000}"/>
    <cellStyle name="Separador de milhares 2 7 2" xfId="805" xr:uid="{00000000-0005-0000-0000-00007C020000}"/>
    <cellStyle name="Separador de milhares 2 7 2 2" xfId="833" xr:uid="{00000000-0005-0000-0000-00007D020000}"/>
    <cellStyle name="Separador de milhares 2 7 2 2 2" xfId="1025" xr:uid="{3B331F80-0B11-47B3-A3AF-B50AB6C58372}"/>
    <cellStyle name="Separador de milhares 2 7 2 3" xfId="997" xr:uid="{7E7E8F9F-4C94-4857-8908-F8761E85FC44}"/>
    <cellStyle name="Separador de milhares 2 8" xfId="616" xr:uid="{00000000-0005-0000-0000-000097020000}"/>
    <cellStyle name="Separador de milhares 2 8 2" xfId="806" xr:uid="{00000000-0005-0000-0000-00007F020000}"/>
    <cellStyle name="Separador de milhares 2 8 2 2" xfId="834" xr:uid="{00000000-0005-0000-0000-000080020000}"/>
    <cellStyle name="Separador de milhares 2 8 2 2 2" xfId="1026" xr:uid="{2B215279-44EF-43D3-8DB1-1457873463F4}"/>
    <cellStyle name="Separador de milhares 2 8 2 3" xfId="998" xr:uid="{3AC61EA8-3434-4437-ACF3-6B4D69BCCAB6}"/>
    <cellStyle name="Separador de milhares 2 9" xfId="796" xr:uid="{00000000-0005-0000-0000-000081020000}"/>
    <cellStyle name="Separador de milhares 2 9 2" xfId="824" xr:uid="{00000000-0005-0000-0000-000082020000}"/>
    <cellStyle name="Separador de milhares 2 9 2 2" xfId="1016" xr:uid="{0C266FCC-336A-4BFE-BEDE-4A78143FE057}"/>
    <cellStyle name="Separador de milhares 2 9 3" xfId="988" xr:uid="{22FF8933-BD32-4C09-B7B3-789E98C365E0}"/>
    <cellStyle name="Separador de milhares 4" xfId="617" xr:uid="{00000000-0005-0000-0000-000098020000}"/>
    <cellStyle name="Separador de milhares 4 2" xfId="807" xr:uid="{00000000-0005-0000-0000-000084020000}"/>
    <cellStyle name="Separador de milhares 4 2 2" xfId="835" xr:uid="{00000000-0005-0000-0000-000085020000}"/>
    <cellStyle name="Separador de milhares 4 2 2 2" xfId="1027" xr:uid="{983F260F-2F12-465E-9CEB-FADA48E2739E}"/>
    <cellStyle name="Separador de milhares 4 2 3" xfId="999" xr:uid="{856B9B67-CC25-43F3-BF6E-D0EB15CE0DB5}"/>
    <cellStyle name="Separador de milhares 5" xfId="618" xr:uid="{00000000-0005-0000-0000-000099020000}"/>
    <cellStyle name="Separador de milhares 5 2" xfId="808" xr:uid="{00000000-0005-0000-0000-000087020000}"/>
    <cellStyle name="Separador de milhares 5 2 2" xfId="836" xr:uid="{00000000-0005-0000-0000-000088020000}"/>
    <cellStyle name="Separador de milhares 5 2 2 2" xfId="1028" xr:uid="{E0E88F15-159E-48D6-9AAE-F169F462899A}"/>
    <cellStyle name="Separador de milhares 5 2 3" xfId="1000" xr:uid="{E7C875F1-ABD3-49AC-81B7-76C8EF7C8112}"/>
    <cellStyle name="Sheet Title" xfId="619" xr:uid="{00000000-0005-0000-0000-00009A020000}"/>
    <cellStyle name="Texto de Aviso 2" xfId="620" xr:uid="{00000000-0005-0000-0000-00009B020000}"/>
    <cellStyle name="Texto de Aviso 2 2" xfId="621" xr:uid="{00000000-0005-0000-0000-00009C020000}"/>
    <cellStyle name="Texto de Aviso 2 3" xfId="622" xr:uid="{00000000-0005-0000-0000-00009D020000}"/>
    <cellStyle name="Texto de Aviso 2 4" xfId="623" xr:uid="{00000000-0005-0000-0000-00009E020000}"/>
    <cellStyle name="Texto de Aviso 2 5" xfId="624" xr:uid="{00000000-0005-0000-0000-00009F020000}"/>
    <cellStyle name="Texto de Aviso 2 6" xfId="625" xr:uid="{00000000-0005-0000-0000-0000A0020000}"/>
    <cellStyle name="Texto de Aviso 3" xfId="626" xr:uid="{00000000-0005-0000-0000-0000A1020000}"/>
    <cellStyle name="Texto de Aviso 3 2" xfId="627" xr:uid="{00000000-0005-0000-0000-0000A2020000}"/>
    <cellStyle name="Texto de Aviso 3 3" xfId="628" xr:uid="{00000000-0005-0000-0000-0000A3020000}"/>
    <cellStyle name="Texto de Aviso 3 4" xfId="629" xr:uid="{00000000-0005-0000-0000-0000A4020000}"/>
    <cellStyle name="Texto de Aviso 3 5" xfId="630" xr:uid="{00000000-0005-0000-0000-0000A5020000}"/>
    <cellStyle name="Texto de Aviso 3 6" xfId="631" xr:uid="{00000000-0005-0000-0000-0000A6020000}"/>
    <cellStyle name="Texto de Aviso 4" xfId="632" xr:uid="{00000000-0005-0000-0000-0000A7020000}"/>
    <cellStyle name="Texto de Aviso 4 2" xfId="633" xr:uid="{00000000-0005-0000-0000-0000A8020000}"/>
    <cellStyle name="Texto de Aviso 4 3" xfId="634" xr:uid="{00000000-0005-0000-0000-0000A9020000}"/>
    <cellStyle name="Texto de Aviso 4 4" xfId="635" xr:uid="{00000000-0005-0000-0000-0000AA020000}"/>
    <cellStyle name="Texto de Aviso 4 5" xfId="636" xr:uid="{00000000-0005-0000-0000-0000AB020000}"/>
    <cellStyle name="Texto de Aviso 4 6" xfId="637" xr:uid="{00000000-0005-0000-0000-0000AC020000}"/>
    <cellStyle name="Texto de Aviso 5" xfId="638" xr:uid="{00000000-0005-0000-0000-0000AD020000}"/>
    <cellStyle name="Texto de Aviso 5 2" xfId="639" xr:uid="{00000000-0005-0000-0000-0000AE020000}"/>
    <cellStyle name="Texto de Aviso 5 3" xfId="640" xr:uid="{00000000-0005-0000-0000-0000AF020000}"/>
    <cellStyle name="Texto de Aviso 5 4" xfId="641" xr:uid="{00000000-0005-0000-0000-0000B0020000}"/>
    <cellStyle name="Texto de Aviso 5 5" xfId="642" xr:uid="{00000000-0005-0000-0000-0000B1020000}"/>
    <cellStyle name="Texto de Aviso 5 6" xfId="643" xr:uid="{00000000-0005-0000-0000-0000B2020000}"/>
    <cellStyle name="Título 1 2" xfId="644" xr:uid="{00000000-0005-0000-0000-0000B3020000}"/>
    <cellStyle name="Título 1 2 2" xfId="645" xr:uid="{00000000-0005-0000-0000-0000B4020000}"/>
    <cellStyle name="Título 1 2 3" xfId="646" xr:uid="{00000000-0005-0000-0000-0000B5020000}"/>
    <cellStyle name="Título 1 2 4" xfId="647" xr:uid="{00000000-0005-0000-0000-0000B6020000}"/>
    <cellStyle name="Título 1 2 5" xfId="648" xr:uid="{00000000-0005-0000-0000-0000B7020000}"/>
    <cellStyle name="Título 1 2 6" xfId="649" xr:uid="{00000000-0005-0000-0000-0000B8020000}"/>
    <cellStyle name="Título 1 3" xfId="650" xr:uid="{00000000-0005-0000-0000-0000B9020000}"/>
    <cellStyle name="Título 1 3 2" xfId="651" xr:uid="{00000000-0005-0000-0000-0000BA020000}"/>
    <cellStyle name="Título 1 3 3" xfId="652" xr:uid="{00000000-0005-0000-0000-0000BB020000}"/>
    <cellStyle name="Título 1 3 4" xfId="653" xr:uid="{00000000-0005-0000-0000-0000BC020000}"/>
    <cellStyle name="Título 1 3 5" xfId="654" xr:uid="{00000000-0005-0000-0000-0000BD020000}"/>
    <cellStyle name="Título 1 3 6" xfId="655" xr:uid="{00000000-0005-0000-0000-0000BE020000}"/>
    <cellStyle name="Título 1 4" xfId="656" xr:uid="{00000000-0005-0000-0000-0000BF020000}"/>
    <cellStyle name="Título 1 4 2" xfId="657" xr:uid="{00000000-0005-0000-0000-0000C0020000}"/>
    <cellStyle name="Título 1 4 3" xfId="658" xr:uid="{00000000-0005-0000-0000-0000C1020000}"/>
    <cellStyle name="Título 1 4 4" xfId="659" xr:uid="{00000000-0005-0000-0000-0000C2020000}"/>
    <cellStyle name="Título 1 4 5" xfId="660" xr:uid="{00000000-0005-0000-0000-0000C3020000}"/>
    <cellStyle name="Título 1 4 6" xfId="661" xr:uid="{00000000-0005-0000-0000-0000C4020000}"/>
    <cellStyle name="Título 1 5" xfId="662" xr:uid="{00000000-0005-0000-0000-0000C5020000}"/>
    <cellStyle name="Título 1 5 2" xfId="663" xr:uid="{00000000-0005-0000-0000-0000C6020000}"/>
    <cellStyle name="Título 1 5 3" xfId="664" xr:uid="{00000000-0005-0000-0000-0000C7020000}"/>
    <cellStyle name="Título 1 5 4" xfId="665" xr:uid="{00000000-0005-0000-0000-0000C8020000}"/>
    <cellStyle name="Título 1 5 5" xfId="666" xr:uid="{00000000-0005-0000-0000-0000C9020000}"/>
    <cellStyle name="Título 1 5 6" xfId="667" xr:uid="{00000000-0005-0000-0000-0000CA020000}"/>
    <cellStyle name="Título 2 2" xfId="668" xr:uid="{00000000-0005-0000-0000-0000CB020000}"/>
    <cellStyle name="Título 2 2 2" xfId="669" xr:uid="{00000000-0005-0000-0000-0000CC020000}"/>
    <cellStyle name="Título 2 2 3" xfId="670" xr:uid="{00000000-0005-0000-0000-0000CD020000}"/>
    <cellStyle name="Título 2 2 4" xfId="671" xr:uid="{00000000-0005-0000-0000-0000CE020000}"/>
    <cellStyle name="Título 2 2 5" xfId="672" xr:uid="{00000000-0005-0000-0000-0000CF020000}"/>
    <cellStyle name="Título 2 2 6" xfId="673" xr:uid="{00000000-0005-0000-0000-0000D0020000}"/>
    <cellStyle name="Título 2 3" xfId="674" xr:uid="{00000000-0005-0000-0000-0000D1020000}"/>
    <cellStyle name="Título 2 3 2" xfId="675" xr:uid="{00000000-0005-0000-0000-0000D2020000}"/>
    <cellStyle name="Título 2 3 3" xfId="676" xr:uid="{00000000-0005-0000-0000-0000D3020000}"/>
    <cellStyle name="Título 2 3 4" xfId="677" xr:uid="{00000000-0005-0000-0000-0000D4020000}"/>
    <cellStyle name="Título 2 3 5" xfId="678" xr:uid="{00000000-0005-0000-0000-0000D5020000}"/>
    <cellStyle name="Título 2 3 6" xfId="679" xr:uid="{00000000-0005-0000-0000-0000D6020000}"/>
    <cellStyle name="Título 2 4" xfId="680" xr:uid="{00000000-0005-0000-0000-0000D7020000}"/>
    <cellStyle name="Título 2 4 2" xfId="681" xr:uid="{00000000-0005-0000-0000-0000D8020000}"/>
    <cellStyle name="Título 2 4 3" xfId="682" xr:uid="{00000000-0005-0000-0000-0000D9020000}"/>
    <cellStyle name="Título 2 4 4" xfId="683" xr:uid="{00000000-0005-0000-0000-0000DA020000}"/>
    <cellStyle name="Título 2 4 5" xfId="684" xr:uid="{00000000-0005-0000-0000-0000DB020000}"/>
    <cellStyle name="Título 2 4 6" xfId="685" xr:uid="{00000000-0005-0000-0000-0000DC020000}"/>
    <cellStyle name="Título 2 5" xfId="686" xr:uid="{00000000-0005-0000-0000-0000DD020000}"/>
    <cellStyle name="Título 2 5 2" xfId="687" xr:uid="{00000000-0005-0000-0000-0000DE020000}"/>
    <cellStyle name="Título 2 5 3" xfId="688" xr:uid="{00000000-0005-0000-0000-0000DF020000}"/>
    <cellStyle name="Título 2 5 4" xfId="689" xr:uid="{00000000-0005-0000-0000-0000E0020000}"/>
    <cellStyle name="Título 2 5 5" xfId="690" xr:uid="{00000000-0005-0000-0000-0000E1020000}"/>
    <cellStyle name="Título 2 5 6" xfId="691" xr:uid="{00000000-0005-0000-0000-0000E2020000}"/>
    <cellStyle name="Título 3 2" xfId="692" xr:uid="{00000000-0005-0000-0000-0000E3020000}"/>
    <cellStyle name="Título 3 2 2" xfId="693" xr:uid="{00000000-0005-0000-0000-0000E4020000}"/>
    <cellStyle name="Título 3 2 3" xfId="694" xr:uid="{00000000-0005-0000-0000-0000E5020000}"/>
    <cellStyle name="Título 3 2 4" xfId="695" xr:uid="{00000000-0005-0000-0000-0000E6020000}"/>
    <cellStyle name="Título 3 2 5" xfId="696" xr:uid="{00000000-0005-0000-0000-0000E7020000}"/>
    <cellStyle name="Título 3 2 6" xfId="697" xr:uid="{00000000-0005-0000-0000-0000E8020000}"/>
    <cellStyle name="Título 3 3" xfId="698" xr:uid="{00000000-0005-0000-0000-0000E9020000}"/>
    <cellStyle name="Título 3 3 2" xfId="699" xr:uid="{00000000-0005-0000-0000-0000EA020000}"/>
    <cellStyle name="Título 3 3 3" xfId="700" xr:uid="{00000000-0005-0000-0000-0000EB020000}"/>
    <cellStyle name="Título 3 3 4" xfId="701" xr:uid="{00000000-0005-0000-0000-0000EC020000}"/>
    <cellStyle name="Título 3 3 5" xfId="702" xr:uid="{00000000-0005-0000-0000-0000ED020000}"/>
    <cellStyle name="Título 3 3 6" xfId="703" xr:uid="{00000000-0005-0000-0000-0000EE020000}"/>
    <cellStyle name="Título 3 4" xfId="704" xr:uid="{00000000-0005-0000-0000-0000EF020000}"/>
    <cellStyle name="Título 3 4 2" xfId="705" xr:uid="{00000000-0005-0000-0000-0000F0020000}"/>
    <cellStyle name="Título 3 4 3" xfId="706" xr:uid="{00000000-0005-0000-0000-0000F1020000}"/>
    <cellStyle name="Título 3 4 4" xfId="707" xr:uid="{00000000-0005-0000-0000-0000F2020000}"/>
    <cellStyle name="Título 3 4 5" xfId="708" xr:uid="{00000000-0005-0000-0000-0000F3020000}"/>
    <cellStyle name="Título 3 4 6" xfId="709" xr:uid="{00000000-0005-0000-0000-0000F4020000}"/>
    <cellStyle name="Título 3 5" xfId="710" xr:uid="{00000000-0005-0000-0000-0000F5020000}"/>
    <cellStyle name="Título 3 5 2" xfId="711" xr:uid="{00000000-0005-0000-0000-0000F6020000}"/>
    <cellStyle name="Título 3 5 3" xfId="712" xr:uid="{00000000-0005-0000-0000-0000F7020000}"/>
    <cellStyle name="Título 3 5 4" xfId="713" xr:uid="{00000000-0005-0000-0000-0000F8020000}"/>
    <cellStyle name="Título 3 5 5" xfId="714" xr:uid="{00000000-0005-0000-0000-0000F9020000}"/>
    <cellStyle name="Título 3 5 6" xfId="715" xr:uid="{00000000-0005-0000-0000-0000FA020000}"/>
    <cellStyle name="Título 4 2" xfId="716" xr:uid="{00000000-0005-0000-0000-0000FB020000}"/>
    <cellStyle name="Título 4 2 2" xfId="717" xr:uid="{00000000-0005-0000-0000-0000FC020000}"/>
    <cellStyle name="Título 4 2 3" xfId="718" xr:uid="{00000000-0005-0000-0000-0000FD020000}"/>
    <cellStyle name="Título 4 2 4" xfId="719" xr:uid="{00000000-0005-0000-0000-0000FE020000}"/>
    <cellStyle name="Título 4 2 5" xfId="720" xr:uid="{00000000-0005-0000-0000-0000FF020000}"/>
    <cellStyle name="Título 4 2 6" xfId="721" xr:uid="{00000000-0005-0000-0000-000000030000}"/>
    <cellStyle name="Título 4 3" xfId="722" xr:uid="{00000000-0005-0000-0000-000001030000}"/>
    <cellStyle name="Título 4 3 2" xfId="723" xr:uid="{00000000-0005-0000-0000-000002030000}"/>
    <cellStyle name="Título 4 3 3" xfId="724" xr:uid="{00000000-0005-0000-0000-000003030000}"/>
    <cellStyle name="Título 4 3 4" xfId="725" xr:uid="{00000000-0005-0000-0000-000004030000}"/>
    <cellStyle name="Título 4 3 5" xfId="726" xr:uid="{00000000-0005-0000-0000-000005030000}"/>
    <cellStyle name="Título 4 3 6" xfId="727" xr:uid="{00000000-0005-0000-0000-000006030000}"/>
    <cellStyle name="Título 4 4" xfId="728" xr:uid="{00000000-0005-0000-0000-000007030000}"/>
    <cellStyle name="Título 4 4 2" xfId="729" xr:uid="{00000000-0005-0000-0000-000008030000}"/>
    <cellStyle name="Título 4 4 3" xfId="730" xr:uid="{00000000-0005-0000-0000-000009030000}"/>
    <cellStyle name="Título 4 4 4" xfId="731" xr:uid="{00000000-0005-0000-0000-00000A030000}"/>
    <cellStyle name="Título 4 4 5" xfId="732" xr:uid="{00000000-0005-0000-0000-00000B030000}"/>
    <cellStyle name="Título 4 4 6" xfId="733" xr:uid="{00000000-0005-0000-0000-00000C030000}"/>
    <cellStyle name="Título 4 5" xfId="734" xr:uid="{00000000-0005-0000-0000-00000D030000}"/>
    <cellStyle name="Título 4 5 2" xfId="735" xr:uid="{00000000-0005-0000-0000-00000E030000}"/>
    <cellStyle name="Título 4 5 3" xfId="736" xr:uid="{00000000-0005-0000-0000-00000F030000}"/>
    <cellStyle name="Título 4 5 4" xfId="737" xr:uid="{00000000-0005-0000-0000-000010030000}"/>
    <cellStyle name="Título 4 5 5" xfId="738" xr:uid="{00000000-0005-0000-0000-000011030000}"/>
    <cellStyle name="Título 4 5 6" xfId="739" xr:uid="{00000000-0005-0000-0000-000012030000}"/>
    <cellStyle name="Total 2" xfId="740" xr:uid="{00000000-0005-0000-0000-000013030000}"/>
    <cellStyle name="Total 2 2" xfId="741" xr:uid="{00000000-0005-0000-0000-000014030000}"/>
    <cellStyle name="Total 2 3" xfId="742" xr:uid="{00000000-0005-0000-0000-000015030000}"/>
    <cellStyle name="Total 2 4" xfId="743" xr:uid="{00000000-0005-0000-0000-000016030000}"/>
    <cellStyle name="Total 2 5" xfId="744" xr:uid="{00000000-0005-0000-0000-000017030000}"/>
    <cellStyle name="Total 2 6" xfId="745" xr:uid="{00000000-0005-0000-0000-000018030000}"/>
    <cellStyle name="Total 3" xfId="746" xr:uid="{00000000-0005-0000-0000-000019030000}"/>
    <cellStyle name="Total 3 2" xfId="747" xr:uid="{00000000-0005-0000-0000-00001A030000}"/>
    <cellStyle name="Total 3 3" xfId="748" xr:uid="{00000000-0005-0000-0000-00001B030000}"/>
    <cellStyle name="Total 3 4" xfId="749" xr:uid="{00000000-0005-0000-0000-00001C030000}"/>
    <cellStyle name="Total 3 5" xfId="750" xr:uid="{00000000-0005-0000-0000-00001D030000}"/>
    <cellStyle name="Total 3 6" xfId="751" xr:uid="{00000000-0005-0000-0000-00001E030000}"/>
    <cellStyle name="Total 4" xfId="752" xr:uid="{00000000-0005-0000-0000-00001F030000}"/>
    <cellStyle name="Total 4 2" xfId="753" xr:uid="{00000000-0005-0000-0000-000020030000}"/>
    <cellStyle name="Total 4 3" xfId="754" xr:uid="{00000000-0005-0000-0000-000021030000}"/>
    <cellStyle name="Total 4 4" xfId="755" xr:uid="{00000000-0005-0000-0000-000022030000}"/>
    <cellStyle name="Total 4 5" xfId="756" xr:uid="{00000000-0005-0000-0000-000023030000}"/>
    <cellStyle name="Total 4 6" xfId="757" xr:uid="{00000000-0005-0000-0000-000024030000}"/>
    <cellStyle name="Total 5" xfId="758" xr:uid="{00000000-0005-0000-0000-000025030000}"/>
    <cellStyle name="Total 5 2" xfId="759" xr:uid="{00000000-0005-0000-0000-000026030000}"/>
    <cellStyle name="Total 5 3" xfId="760" xr:uid="{00000000-0005-0000-0000-000027030000}"/>
    <cellStyle name="Total 5 4" xfId="761" xr:uid="{00000000-0005-0000-0000-000028030000}"/>
    <cellStyle name="Total 5 5" xfId="762" xr:uid="{00000000-0005-0000-0000-000029030000}"/>
    <cellStyle name="Total 5 6" xfId="763" xr:uid="{00000000-0005-0000-0000-00002A030000}"/>
    <cellStyle name="Vírgula" xfId="2" builtinId="3"/>
    <cellStyle name="Vírgula 10" xfId="853" xr:uid="{00000000-0005-0000-0000-000083030000}"/>
    <cellStyle name="Vírgula 10 2" xfId="1045" xr:uid="{86FEEE55-9538-452F-B94C-BFCDECE8599B}"/>
    <cellStyle name="Vírgula 11" xfId="899" xr:uid="{8CD9E079-C038-4D78-8606-23C9956C17C9}"/>
    <cellStyle name="Vírgula 11 2" xfId="1091" xr:uid="{4C87A772-67F1-4059-8CA4-A030CD49C4E7}"/>
    <cellStyle name="Vírgula 12" xfId="903" xr:uid="{33E6B623-F04E-4181-A762-689C9B039A7F}"/>
    <cellStyle name="Vírgula 12 2" xfId="1095" xr:uid="{542EEC92-8C6E-4532-A481-ACC73AFA1BF7}"/>
    <cellStyle name="Vírgula 13" xfId="906" xr:uid="{73C83B07-B867-4060-AB17-CC0054E36157}"/>
    <cellStyle name="Vírgula 13 2" xfId="1097" xr:uid="{6934D229-BB78-43DF-A3AE-D411D341AF4A}"/>
    <cellStyle name="Vírgula 14" xfId="907" xr:uid="{45DB58FB-8895-476D-A1D1-FF8DEA62648F}"/>
    <cellStyle name="Vírgula 14 2" xfId="1098" xr:uid="{0F6646CF-9ABF-4E69-AF10-701983360B1C}"/>
    <cellStyle name="Vírgula 15" xfId="911" xr:uid="{75592965-22A2-425A-B08A-85FDA579C672}"/>
    <cellStyle name="Vírgula 15 2" xfId="1102" xr:uid="{8E945CB6-058F-43F7-BCCE-6C0924B7472D}"/>
    <cellStyle name="Vírgula 16" xfId="926" xr:uid="{EF3CF1F3-B111-405D-B2A4-AC11B4F3100A}"/>
    <cellStyle name="Vírgula 16 2" xfId="1116" xr:uid="{7D407D72-C2EA-4530-B3E7-D10CF5CF3A20}"/>
    <cellStyle name="Vírgula 17" xfId="927" xr:uid="{713F17E4-2B87-41B0-8AE3-215FEE0F1350}"/>
    <cellStyle name="Vírgula 2" xfId="4" xr:uid="{00000000-0005-0000-0000-000011000000}"/>
    <cellStyle name="Vírgula 2 2" xfId="8" xr:uid="{00000000-0005-0000-0000-000012000000}"/>
    <cellStyle name="Vírgula 2 2 2" xfId="23" xr:uid="{D4BEE576-5A47-4CC9-9053-A5AA8FEA50EA}"/>
    <cellStyle name="Vírgula 2 2 2 2" xfId="944" xr:uid="{60837479-C24F-42ED-8465-24682918DE74}"/>
    <cellStyle name="Vírgula 2 2 3" xfId="931" xr:uid="{64B26406-D93D-4A2F-BEF2-A20D89D74509}"/>
    <cellStyle name="Vírgula 2 3" xfId="11" xr:uid="{00000000-0005-0000-0000-000013000000}"/>
    <cellStyle name="Vírgula 2 3 2" xfId="933" xr:uid="{A10FF700-13E5-4C33-A200-2D6085C19FD5}"/>
    <cellStyle name="Vírgula 2 4" xfId="12" xr:uid="{00000000-0005-0000-0000-000014000000}"/>
    <cellStyle name="Vírgula 2 4 2" xfId="934" xr:uid="{E704A3E1-F8DF-4B1F-A889-7DDAEE3EEADB}"/>
    <cellStyle name="Vírgula 2 5" xfId="783" xr:uid="{5BC4F056-B281-492D-B2E9-68312BCD8418}"/>
    <cellStyle name="Vírgula 2 5 2" xfId="975" xr:uid="{B55F00C2-ADCB-483A-9580-7538FD5FB93C}"/>
    <cellStyle name="Vírgula 2 6" xfId="914" xr:uid="{C70225CC-563C-4BE9-B0F8-3BEB27D2FDDB}"/>
    <cellStyle name="Vírgula 2 6 2" xfId="1105" xr:uid="{6FC41B04-6948-4356-904E-1D03C326C1EE}"/>
    <cellStyle name="Vírgula 3" xfId="6" xr:uid="{00000000-0005-0000-0000-000015000000}"/>
    <cellStyle name="Vírgula 3 2" xfId="14" xr:uid="{00000000-0005-0000-0000-000016000000}"/>
    <cellStyle name="Vírgula 3 2 2" xfId="769" xr:uid="{00000000-0005-0000-0000-000016000000}"/>
    <cellStyle name="Vírgula 3 2 2 2" xfId="885" xr:uid="{00000000-0005-0000-0000-000016000000}"/>
    <cellStyle name="Vírgula 3 2 2 2 2" xfId="1077" xr:uid="{9E6282E2-5B56-4428-9F77-E5AAE4FCD384}"/>
    <cellStyle name="Vírgula 3 2 2 3" xfId="961" xr:uid="{10A7986F-9371-4C12-AC3F-36597E13572A}"/>
    <cellStyle name="Vírgula 3 2 3" xfId="862" xr:uid="{00000000-0005-0000-0000-000016000000}"/>
    <cellStyle name="Vírgula 3 2 3 2" xfId="1054" xr:uid="{120F3B4E-4628-474E-9953-CE4ACF11698B}"/>
    <cellStyle name="Vírgula 3 2 4" xfId="936" xr:uid="{5EF1834F-4E71-4589-BCFC-AA7625EBC88C}"/>
    <cellStyle name="Vírgula 3 3" xfId="765" xr:uid="{00000000-0005-0000-0000-000015000000}"/>
    <cellStyle name="Vírgula 3 3 2" xfId="881" xr:uid="{00000000-0005-0000-0000-000015000000}"/>
    <cellStyle name="Vírgula 3 3 2 2" xfId="1073" xr:uid="{41C99DFC-1F4A-4493-BA1B-7B8E66E4F6E0}"/>
    <cellStyle name="Vírgula 3 3 3" xfId="957" xr:uid="{DCB5ABE9-5EB9-4775-8790-67C000276C8F}"/>
    <cellStyle name="Vírgula 3 4" xfId="858" xr:uid="{00000000-0005-0000-0000-000015000000}"/>
    <cellStyle name="Vírgula 3 4 2" xfId="1050" xr:uid="{C2982E69-8802-4304-86A0-AA756B5FEBDC}"/>
    <cellStyle name="Vírgula 3 5" xfId="924" xr:uid="{06480ACD-8753-49E0-9C58-4448DF025D41}"/>
    <cellStyle name="Vírgula 3 5 2" xfId="1114" xr:uid="{FAC09FE2-30C2-40C6-91A3-35AD83022083}"/>
    <cellStyle name="Vírgula 3 6" xfId="929" xr:uid="{B4E8F463-8E9A-456B-9C68-99146FAAA75E}"/>
    <cellStyle name="Vírgula 4" xfId="22" xr:uid="{47892008-9B96-45D3-90CC-C2908F56DF25}"/>
    <cellStyle name="Vírgula 4 2" xfId="775" xr:uid="{47892008-9B96-45D3-90CC-C2908F56DF25}"/>
    <cellStyle name="Vírgula 4 2 2" xfId="891" xr:uid="{47892008-9B96-45D3-90CC-C2908F56DF25}"/>
    <cellStyle name="Vírgula 4 2 2 2" xfId="1083" xr:uid="{78853722-FD5E-4A70-809B-3985FB67B8A6}"/>
    <cellStyle name="Vírgula 4 2 3" xfId="967" xr:uid="{998C1825-988D-42D1-A97F-18B78AEDC7B8}"/>
    <cellStyle name="Vírgula 4 3" xfId="868" xr:uid="{47892008-9B96-45D3-90CC-C2908F56DF25}"/>
    <cellStyle name="Vírgula 4 3 2" xfId="1060" xr:uid="{FB71ABBE-4FDC-449D-AD03-DD5EBF127BDB}"/>
    <cellStyle name="Vírgula 4 4" xfId="943" xr:uid="{F0D28130-633D-49BD-9254-531BD0AB67A4}"/>
    <cellStyle name="Vírgula 5" xfId="26" xr:uid="{9B496794-689B-4F33-9E3F-EB96790C5240}"/>
    <cellStyle name="Vírgula 5 2" xfId="871" xr:uid="{9B496794-689B-4F33-9E3F-EB96790C5240}"/>
    <cellStyle name="Vírgula 5 2 2" xfId="1063" xr:uid="{CD64099C-E063-45B4-AB4C-76C45D60923C}"/>
    <cellStyle name="Vírgula 5 3" xfId="947" xr:uid="{43FD2066-1E21-447C-BA3E-BAD44FBCF6BD}"/>
    <cellStyle name="Vírgula 6" xfId="778" xr:uid="{E15F3CF4-4E95-4E58-B294-B214E23FF35F}"/>
    <cellStyle name="Vírgula 6 2" xfId="894" xr:uid="{E15F3CF4-4E95-4E58-B294-B214E23FF35F}"/>
    <cellStyle name="Vírgula 6 2 2" xfId="1086" xr:uid="{02107F8A-5F44-45A7-A425-C184119FE25A}"/>
    <cellStyle name="Vírgula 6 3" xfId="970" xr:uid="{A3A21A4F-E40C-445F-8746-BD28080D3C34}"/>
    <cellStyle name="Vírgula 7" xfId="780" xr:uid="{729D11E3-84C9-4811-812E-A110B938106A}"/>
    <cellStyle name="Vírgula 7 2" xfId="896" xr:uid="{729D11E3-84C9-4811-812E-A110B938106A}"/>
    <cellStyle name="Vírgula 7 2 2" xfId="1088" xr:uid="{F15FA8CF-DAEF-4EC5-B192-89E5ABCC2705}"/>
    <cellStyle name="Vírgula 7 3" xfId="972" xr:uid="{0124F84A-32D2-4861-A6C3-C22AED2781D7}"/>
    <cellStyle name="Vírgula 8" xfId="782" xr:uid="{00000000-0005-0000-0000-00003B030000}"/>
    <cellStyle name="Vírgula 8 2" xfId="974" xr:uid="{B5FF3EA1-B3F1-46A7-A4A6-6D6EFFE8A29B}"/>
    <cellStyle name="Vírgula 9" xfId="851" xr:uid="{4ED8D620-E9AA-4D51-B0DD-9C86B821CC02}"/>
    <cellStyle name="Vírgula 9 2" xfId="856" xr:uid="{17376F26-90A8-4670-AAB7-B733204FAE96}"/>
    <cellStyle name="Vírgula 9 2 2" xfId="1048" xr:uid="{903300D1-D253-4F61-B5C1-124237C69E91}"/>
    <cellStyle name="Vírgula 9 3" xfId="1043" xr:uid="{90B2D2D1-3483-4A8F-9040-4258027BEAD8}"/>
  </cellStyles>
  <dxfs count="642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39200"/>
      <color rgb="FF005CA9"/>
      <color rgb="FFFF0000"/>
      <color rgb="FFFFFF66"/>
      <color rgb="FF00FFCC"/>
      <color rgb="FFFFFF99"/>
      <color rgb="FF54BBAB"/>
      <color rgb="FFB8CCE4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5027FS201/GECOR/GECOR06/02.CAIXAPAR/3.EVIDENCIACAO/DEMONSTRACOES/2021/1T21/3.DFC_DMPL_D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"/>
      <sheetName val="DMPL_A"/>
      <sheetName val="DMPL_B"/>
      <sheetName val="DVA"/>
      <sheetName val="mar-21"/>
      <sheetName val="fev-21"/>
      <sheetName val="jan-21"/>
      <sheetName val="dez-20"/>
      <sheetName val="nov-20"/>
      <sheetName val="out-20"/>
      <sheetName val="set-20"/>
      <sheetName val="ago-20"/>
      <sheetName val="jul-20"/>
      <sheetName val="jun-20"/>
      <sheetName val="mai-20"/>
      <sheetName val="abr-20"/>
      <sheetName val="mar-20"/>
      <sheetName val="fev-20"/>
      <sheetName val="jan-20"/>
      <sheetName val="dez-19"/>
      <sheetName val="nov-19"/>
      <sheetName val="out-19"/>
      <sheetName val="set-19"/>
      <sheetName val="ago-19"/>
      <sheetName val="jul-19"/>
      <sheetName val="jun-19"/>
      <sheetName val="mai-19"/>
      <sheetName val="abr-19"/>
      <sheetName val="mar-19"/>
      <sheetName val="fev-19"/>
      <sheetName val="jan-19"/>
      <sheetName val="dez-18"/>
      <sheetName val="nov-18"/>
      <sheetName val="out-18"/>
      <sheetName val="set-18"/>
      <sheetName val="ago-18"/>
      <sheetName val="jul-18"/>
      <sheetName val="jun-18"/>
      <sheetName val="mai-18"/>
      <sheetName val="abr-18"/>
      <sheetName val="mar-18"/>
      <sheetName val="fev-18"/>
      <sheetName val="jan-18"/>
      <sheetName val="dez-17"/>
      <sheetName val="nov-17"/>
      <sheetName val="out-17"/>
      <sheetName val="set-17"/>
      <sheetName val="ago-17"/>
      <sheetName val="jul-17"/>
      <sheetName val="jun-17"/>
      <sheetName val="mai-17"/>
      <sheetName val="abr-17"/>
      <sheetName val="mar-17"/>
      <sheetName val="fev-17"/>
      <sheetName val="jan-17"/>
      <sheetName val="Aux"/>
    </sheetNames>
    <sheetDataSet>
      <sheetData sheetId="0">
        <row r="1">
          <cell r="BB1"/>
        </row>
      </sheetData>
      <sheetData sheetId="1"/>
      <sheetData sheetId="2"/>
      <sheetData sheetId="3">
        <row r="1">
          <cell r="BC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8">
          <cell r="B38" t="str">
            <v>01</v>
          </cell>
        </row>
        <row r="39">
          <cell r="B39" t="str">
            <v>02</v>
          </cell>
        </row>
        <row r="40">
          <cell r="B40" t="str">
            <v>04</v>
          </cell>
        </row>
        <row r="41">
          <cell r="B41" t="str">
            <v>05</v>
          </cell>
        </row>
        <row r="42">
          <cell r="B42" t="str">
            <v>06</v>
          </cell>
        </row>
        <row r="43">
          <cell r="B43" t="str">
            <v>07</v>
          </cell>
        </row>
        <row r="44">
          <cell r="B44" t="str">
            <v>12</v>
          </cell>
        </row>
        <row r="45">
          <cell r="B45" t="str">
            <v>15</v>
          </cell>
        </row>
        <row r="46">
          <cell r="B46" t="str">
            <v>16</v>
          </cell>
        </row>
        <row r="47">
          <cell r="B47" t="str">
            <v>19</v>
          </cell>
        </row>
        <row r="48">
          <cell r="B48" t="str">
            <v>20</v>
          </cell>
        </row>
        <row r="49">
          <cell r="B49" t="str">
            <v>27</v>
          </cell>
        </row>
        <row r="50">
          <cell r="B50" t="str">
            <v>28</v>
          </cell>
        </row>
        <row r="51">
          <cell r="B51" t="str">
            <v>29</v>
          </cell>
        </row>
        <row r="52">
          <cell r="B52" t="str">
            <v>58</v>
          </cell>
        </row>
        <row r="53">
          <cell r="B53" t="str">
            <v>67</v>
          </cell>
        </row>
        <row r="54">
          <cell r="B54" t="str">
            <v>68</v>
          </cell>
        </row>
        <row r="55">
          <cell r="B55" t="str">
            <v>69</v>
          </cell>
        </row>
        <row r="56">
          <cell r="B56" t="str">
            <v>70</v>
          </cell>
        </row>
        <row r="57">
          <cell r="B57" t="str">
            <v>71</v>
          </cell>
        </row>
        <row r="58">
          <cell r="B58" t="str">
            <v>72</v>
          </cell>
        </row>
        <row r="59">
          <cell r="B59" t="str">
            <v>73</v>
          </cell>
        </row>
        <row r="60">
          <cell r="B60" t="str">
            <v>77</v>
          </cell>
        </row>
        <row r="61">
          <cell r="B61" t="str">
            <v>78</v>
          </cell>
        </row>
        <row r="62">
          <cell r="B62" t="str">
            <v>79</v>
          </cell>
        </row>
        <row r="63">
          <cell r="B63" t="str">
            <v>81</v>
          </cell>
        </row>
        <row r="64">
          <cell r="B64" t="str">
            <v>83</v>
          </cell>
        </row>
        <row r="65">
          <cell r="B65" t="str">
            <v>84</v>
          </cell>
        </row>
        <row r="66">
          <cell r="B66" t="str">
            <v>87</v>
          </cell>
        </row>
        <row r="67">
          <cell r="B67" t="str">
            <v>88</v>
          </cell>
        </row>
        <row r="68">
          <cell r="B68" t="str">
            <v>91</v>
          </cell>
        </row>
        <row r="69">
          <cell r="B69" t="str">
            <v>92</v>
          </cell>
        </row>
        <row r="70">
          <cell r="B70" t="str">
            <v>93</v>
          </cell>
        </row>
        <row r="71">
          <cell r="B71" t="str">
            <v>99</v>
          </cell>
        </row>
        <row r="72">
          <cell r="B72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G421"/>
  <sheetViews>
    <sheetView topLeftCell="A2" zoomScale="90" zoomScaleNormal="90" workbookViewId="0"/>
  </sheetViews>
  <sheetFormatPr defaultRowHeight="12.75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>
      <c r="A1" s="45" t="s">
        <v>649</v>
      </c>
      <c r="B1" t="s">
        <v>650</v>
      </c>
      <c r="C1" t="s">
        <v>709</v>
      </c>
      <c r="D1" t="s">
        <v>710</v>
      </c>
      <c r="E1" t="s">
        <v>711</v>
      </c>
    </row>
    <row r="2" spans="1:5">
      <c r="A2" s="47">
        <v>0.65390046296296289</v>
      </c>
      <c r="C2" t="s">
        <v>712</v>
      </c>
      <c r="D2" t="s">
        <v>713</v>
      </c>
    </row>
    <row r="3" spans="1:5">
      <c r="A3" s="45" t="s">
        <v>651</v>
      </c>
      <c r="B3" t="s">
        <v>652</v>
      </c>
      <c r="C3" t="s">
        <v>714</v>
      </c>
      <c r="D3" t="s">
        <v>715</v>
      </c>
    </row>
    <row r="4" spans="1:5">
      <c r="A4" s="45" t="s">
        <v>616</v>
      </c>
      <c r="B4" t="s">
        <v>617</v>
      </c>
      <c r="C4" t="s">
        <v>716</v>
      </c>
      <c r="D4" t="s">
        <v>717</v>
      </c>
    </row>
    <row r="5" spans="1:5">
      <c r="A5" s="45" t="s">
        <v>618</v>
      </c>
      <c r="B5" t="s">
        <v>619</v>
      </c>
      <c r="C5" t="s">
        <v>620</v>
      </c>
    </row>
    <row r="6" spans="1:5">
      <c r="A6" s="45" t="s">
        <v>616</v>
      </c>
      <c r="B6" t="s">
        <v>617</v>
      </c>
      <c r="C6" t="s">
        <v>716</v>
      </c>
      <c r="D6" t="s">
        <v>717</v>
      </c>
    </row>
    <row r="7" spans="1:5">
      <c r="A7" s="45"/>
      <c r="D7" s="2"/>
    </row>
    <row r="8" spans="1:5">
      <c r="A8" s="45">
        <v>1</v>
      </c>
      <c r="B8">
        <v>-7</v>
      </c>
      <c r="C8" t="s">
        <v>345</v>
      </c>
      <c r="D8" s="2">
        <v>1641432710.99</v>
      </c>
    </row>
    <row r="9" spans="1:5">
      <c r="A9" s="45" t="s">
        <v>315</v>
      </c>
      <c r="B9">
        <v>-4</v>
      </c>
      <c r="C9" t="s">
        <v>346</v>
      </c>
      <c r="D9" s="2">
        <v>276.11</v>
      </c>
    </row>
    <row r="10" spans="1:5">
      <c r="A10" s="45" t="s">
        <v>347</v>
      </c>
      <c r="B10">
        <v>-2</v>
      </c>
      <c r="C10" t="s">
        <v>348</v>
      </c>
      <c r="D10">
        <v>224.13</v>
      </c>
    </row>
    <row r="11" spans="1:5">
      <c r="A11" s="45" t="s">
        <v>349</v>
      </c>
      <c r="B11">
        <v>0</v>
      </c>
      <c r="C11" t="s">
        <v>350</v>
      </c>
      <c r="D11">
        <v>224.13</v>
      </c>
    </row>
    <row r="12" spans="1:5">
      <c r="A12" s="45" t="s">
        <v>351</v>
      </c>
      <c r="B12">
        <v>-5</v>
      </c>
      <c r="C12" t="s">
        <v>350</v>
      </c>
      <c r="D12">
        <v>224.13</v>
      </c>
    </row>
    <row r="13" spans="1:5">
      <c r="A13" s="45" t="s">
        <v>352</v>
      </c>
      <c r="B13">
        <v>-3</v>
      </c>
      <c r="C13" t="s">
        <v>369</v>
      </c>
      <c r="D13">
        <v>224.13</v>
      </c>
    </row>
    <row r="14" spans="1:5">
      <c r="A14" s="45" t="s">
        <v>353</v>
      </c>
      <c r="B14">
        <v>0</v>
      </c>
      <c r="C14" t="s">
        <v>354</v>
      </c>
      <c r="D14" s="2">
        <v>51.98</v>
      </c>
    </row>
    <row r="15" spans="1:5">
      <c r="A15" s="45" t="s">
        <v>355</v>
      </c>
      <c r="B15">
        <v>-2</v>
      </c>
      <c r="C15" t="s">
        <v>370</v>
      </c>
      <c r="D15" s="2">
        <v>51.98</v>
      </c>
    </row>
    <row r="16" spans="1:5">
      <c r="A16" s="45" t="s">
        <v>356</v>
      </c>
      <c r="B16">
        <v>-8</v>
      </c>
      <c r="C16" t="s">
        <v>370</v>
      </c>
      <c r="D16" s="2">
        <v>51.98</v>
      </c>
    </row>
    <row r="17" spans="1:4">
      <c r="A17" s="45" t="s">
        <v>357</v>
      </c>
      <c r="B17">
        <v>-6</v>
      </c>
      <c r="C17" t="s">
        <v>370</v>
      </c>
      <c r="D17" s="2">
        <v>51.98</v>
      </c>
    </row>
    <row r="18" spans="1:4">
      <c r="A18" s="45" t="s">
        <v>316</v>
      </c>
      <c r="B18">
        <v>-1</v>
      </c>
      <c r="C18" t="s">
        <v>358</v>
      </c>
      <c r="D18" s="2">
        <v>93987063.079999998</v>
      </c>
    </row>
    <row r="19" spans="1:4">
      <c r="A19" s="45" t="s">
        <v>359</v>
      </c>
      <c r="B19">
        <v>0</v>
      </c>
      <c r="C19" t="s">
        <v>360</v>
      </c>
      <c r="D19" s="2">
        <v>93987063.079999998</v>
      </c>
    </row>
    <row r="20" spans="1:4">
      <c r="A20" s="45" t="s">
        <v>361</v>
      </c>
      <c r="B20">
        <v>-3</v>
      </c>
      <c r="C20" t="s">
        <v>362</v>
      </c>
      <c r="D20" s="2">
        <v>93987063.079999998</v>
      </c>
    </row>
    <row r="21" spans="1:4">
      <c r="A21" s="45" t="s">
        <v>371</v>
      </c>
      <c r="B21">
        <v>-8</v>
      </c>
      <c r="C21" t="s">
        <v>372</v>
      </c>
      <c r="D21" s="2">
        <v>93987063.079999998</v>
      </c>
    </row>
    <row r="22" spans="1:4">
      <c r="A22" s="45" t="s">
        <v>373</v>
      </c>
      <c r="B22">
        <v>-9</v>
      </c>
      <c r="C22" t="s">
        <v>374</v>
      </c>
      <c r="D22" s="2">
        <v>93987063.079999998</v>
      </c>
    </row>
    <row r="23" spans="1:4">
      <c r="A23" s="45" t="s">
        <v>364</v>
      </c>
      <c r="B23">
        <v>-9</v>
      </c>
      <c r="C23" t="s">
        <v>365</v>
      </c>
      <c r="D23" s="2">
        <v>1354076882.9100001</v>
      </c>
    </row>
    <row r="24" spans="1:4">
      <c r="A24" s="45" t="s">
        <v>366</v>
      </c>
      <c r="B24">
        <v>-7</v>
      </c>
      <c r="C24" t="s">
        <v>367</v>
      </c>
      <c r="D24" s="2">
        <v>1354076882.9100001</v>
      </c>
    </row>
    <row r="25" spans="1:4">
      <c r="A25" s="45" t="s">
        <v>318</v>
      </c>
      <c r="B25">
        <v>0</v>
      </c>
      <c r="C25" t="s">
        <v>0</v>
      </c>
      <c r="D25" s="2">
        <v>293016857.47000003</v>
      </c>
    </row>
    <row r="26" spans="1:4">
      <c r="A26" s="45" t="s">
        <v>1</v>
      </c>
      <c r="B26">
        <v>-7</v>
      </c>
      <c r="C26" t="s">
        <v>2</v>
      </c>
      <c r="D26" s="2">
        <v>293016857.47000003</v>
      </c>
    </row>
    <row r="27" spans="1:4">
      <c r="A27" s="45" t="s">
        <v>3</v>
      </c>
      <c r="B27">
        <v>-5</v>
      </c>
      <c r="C27" t="s">
        <v>375</v>
      </c>
      <c r="D27" s="2">
        <v>293016857.47000003</v>
      </c>
    </row>
    <row r="28" spans="1:4">
      <c r="A28" s="45" t="s">
        <v>376</v>
      </c>
      <c r="B28">
        <v>-3</v>
      </c>
      <c r="C28" t="s">
        <v>377</v>
      </c>
      <c r="D28" s="2">
        <v>313424219.36000001</v>
      </c>
    </row>
    <row r="29" spans="1:4">
      <c r="A29" s="45" t="s">
        <v>378</v>
      </c>
      <c r="B29">
        <v>-6</v>
      </c>
      <c r="C29" t="s">
        <v>379</v>
      </c>
      <c r="D29" s="2">
        <v>313424219.36000001</v>
      </c>
    </row>
    <row r="30" spans="1:4">
      <c r="A30" s="45" t="s">
        <v>380</v>
      </c>
      <c r="B30">
        <v>-4</v>
      </c>
      <c r="C30" t="s">
        <v>381</v>
      </c>
      <c r="D30" s="2">
        <v>313424219.36000001</v>
      </c>
    </row>
    <row r="31" spans="1:4">
      <c r="A31" s="45" t="s">
        <v>317</v>
      </c>
      <c r="B31">
        <v>-4</v>
      </c>
      <c r="C31" t="s">
        <v>4</v>
      </c>
      <c r="D31" s="2">
        <v>747635806.08000004</v>
      </c>
    </row>
    <row r="32" spans="1:4">
      <c r="A32" s="45" t="s">
        <v>5</v>
      </c>
      <c r="B32">
        <v>0</v>
      </c>
      <c r="C32" t="s">
        <v>6</v>
      </c>
      <c r="D32" s="2">
        <v>747635806.08000004</v>
      </c>
    </row>
    <row r="33" spans="1:4">
      <c r="A33" s="45" t="s">
        <v>7</v>
      </c>
      <c r="B33">
        <v>-7</v>
      </c>
      <c r="C33" t="s">
        <v>382</v>
      </c>
      <c r="D33" s="2">
        <v>747635806.08000004</v>
      </c>
    </row>
    <row r="34" spans="1:4">
      <c r="A34" s="45" t="s">
        <v>12</v>
      </c>
      <c r="B34">
        <v>-5</v>
      </c>
      <c r="C34" t="s">
        <v>13</v>
      </c>
      <c r="D34" s="2">
        <v>193368488.88999999</v>
      </c>
    </row>
    <row r="35" spans="1:4">
      <c r="A35" s="45" t="s">
        <v>319</v>
      </c>
      <c r="B35">
        <v>0</v>
      </c>
      <c r="C35" t="s">
        <v>14</v>
      </c>
      <c r="D35" s="2">
        <v>193288193.13999999</v>
      </c>
    </row>
    <row r="36" spans="1:4">
      <c r="A36" s="45" t="s">
        <v>15</v>
      </c>
      <c r="B36">
        <v>-1</v>
      </c>
      <c r="C36" t="s">
        <v>16</v>
      </c>
      <c r="D36" s="2">
        <v>193288193.13999999</v>
      </c>
    </row>
    <row r="37" spans="1:4">
      <c r="A37" s="45" t="s">
        <v>17</v>
      </c>
      <c r="B37">
        <v>-3</v>
      </c>
      <c r="C37" t="s">
        <v>383</v>
      </c>
      <c r="D37" s="2">
        <v>193288193.13999999</v>
      </c>
    </row>
    <row r="38" spans="1:4">
      <c r="A38" s="45" t="s">
        <v>18</v>
      </c>
      <c r="B38">
        <v>-1</v>
      </c>
      <c r="C38" t="s">
        <v>384</v>
      </c>
      <c r="D38" s="2">
        <v>59850844.119999997</v>
      </c>
    </row>
    <row r="39" spans="1:4">
      <c r="A39" s="45" t="s">
        <v>19</v>
      </c>
      <c r="B39">
        <v>0</v>
      </c>
      <c r="C39" t="s">
        <v>385</v>
      </c>
      <c r="D39" s="2">
        <v>133437349.02</v>
      </c>
    </row>
    <row r="40" spans="1:4">
      <c r="A40" s="45" t="s">
        <v>320</v>
      </c>
      <c r="B40">
        <v>0</v>
      </c>
      <c r="C40" t="s">
        <v>20</v>
      </c>
      <c r="D40" s="2">
        <v>80295.75</v>
      </c>
    </row>
    <row r="41" spans="1:4">
      <c r="A41" s="45" t="s">
        <v>21</v>
      </c>
      <c r="B41">
        <v>0</v>
      </c>
      <c r="C41" t="s">
        <v>22</v>
      </c>
      <c r="D41" s="2">
        <v>38130.57</v>
      </c>
    </row>
    <row r="42" spans="1:4">
      <c r="A42" s="45" t="s">
        <v>23</v>
      </c>
      <c r="B42">
        <v>-4</v>
      </c>
      <c r="C42" t="s">
        <v>386</v>
      </c>
      <c r="D42" s="2">
        <v>38130.57</v>
      </c>
    </row>
    <row r="43" spans="1:4">
      <c r="A43" s="45" t="s">
        <v>24</v>
      </c>
      <c r="B43">
        <v>-2</v>
      </c>
      <c r="C43" t="s">
        <v>387</v>
      </c>
      <c r="D43" s="2">
        <v>28037.18</v>
      </c>
    </row>
    <row r="44" spans="1:4">
      <c r="A44" s="45" t="s">
        <v>25</v>
      </c>
      <c r="B44">
        <v>0</v>
      </c>
      <c r="C44" t="s">
        <v>388</v>
      </c>
      <c r="D44" s="2">
        <v>10093.39</v>
      </c>
    </row>
    <row r="45" spans="1:4">
      <c r="A45" s="45" t="s">
        <v>302</v>
      </c>
      <c r="B45">
        <v>-2</v>
      </c>
      <c r="C45" t="s">
        <v>303</v>
      </c>
      <c r="D45" s="2">
        <v>42165.18</v>
      </c>
    </row>
    <row r="46" spans="1:4">
      <c r="A46" s="45" t="s">
        <v>304</v>
      </c>
      <c r="B46">
        <v>-7</v>
      </c>
      <c r="C46" t="s">
        <v>303</v>
      </c>
      <c r="D46" s="2">
        <v>42165.18</v>
      </c>
    </row>
    <row r="47" spans="1:4">
      <c r="A47" s="45" t="s">
        <v>305</v>
      </c>
      <c r="B47">
        <v>-4</v>
      </c>
      <c r="C47" t="s">
        <v>397</v>
      </c>
      <c r="D47" s="2">
        <v>42165.18</v>
      </c>
    </row>
    <row r="48" spans="1:4">
      <c r="A48" s="45">
        <v>2</v>
      </c>
      <c r="B48">
        <v>-3</v>
      </c>
      <c r="C48" t="s">
        <v>621</v>
      </c>
      <c r="D48" s="2">
        <v>4542095578.6999998</v>
      </c>
    </row>
    <row r="49" spans="1:4">
      <c r="A49" s="45" t="s">
        <v>321</v>
      </c>
      <c r="B49">
        <v>0</v>
      </c>
      <c r="C49" t="s">
        <v>28</v>
      </c>
      <c r="D49" s="2">
        <v>4542095503.6999998</v>
      </c>
    </row>
    <row r="50" spans="1:4">
      <c r="A50" s="45" t="s">
        <v>29</v>
      </c>
      <c r="B50">
        <v>-7</v>
      </c>
      <c r="C50" t="s">
        <v>30</v>
      </c>
      <c r="D50" s="2">
        <v>4542095503.6999998</v>
      </c>
    </row>
    <row r="51" spans="1:4">
      <c r="A51" s="45" t="s">
        <v>31</v>
      </c>
      <c r="B51">
        <v>0</v>
      </c>
      <c r="C51" t="s">
        <v>32</v>
      </c>
      <c r="D51" s="2">
        <v>4542095503.6999998</v>
      </c>
    </row>
    <row r="52" spans="1:4">
      <c r="A52" s="47" t="s">
        <v>268</v>
      </c>
      <c r="B52">
        <v>-2</v>
      </c>
      <c r="C52" t="s">
        <v>398</v>
      </c>
      <c r="D52" s="2">
        <v>1469201224.8</v>
      </c>
    </row>
    <row r="53" spans="1:4">
      <c r="A53" s="45" t="s">
        <v>269</v>
      </c>
      <c r="B53">
        <v>0</v>
      </c>
      <c r="C53" t="s">
        <v>589</v>
      </c>
      <c r="D53" s="2">
        <v>1470153863.99</v>
      </c>
    </row>
    <row r="54" spans="1:4">
      <c r="A54" s="45" t="s">
        <v>653</v>
      </c>
      <c r="B54">
        <v>-9</v>
      </c>
      <c r="C54" t="s">
        <v>654</v>
      </c>
      <c r="D54" s="2">
        <v>-952639.19</v>
      </c>
    </row>
    <row r="55" spans="1:4">
      <c r="A55" s="45" t="s">
        <v>270</v>
      </c>
      <c r="B55">
        <v>-9</v>
      </c>
      <c r="C55" t="s">
        <v>399</v>
      </c>
      <c r="D55" s="2">
        <v>176358000</v>
      </c>
    </row>
    <row r="56" spans="1:4">
      <c r="A56" s="45" t="s">
        <v>271</v>
      </c>
      <c r="B56">
        <v>-7</v>
      </c>
      <c r="C56" t="s">
        <v>400</v>
      </c>
      <c r="D56" s="2">
        <v>176358000</v>
      </c>
    </row>
    <row r="57" spans="1:4">
      <c r="A57" s="45" t="s">
        <v>272</v>
      </c>
      <c r="B57">
        <v>-1</v>
      </c>
      <c r="C57" t="s">
        <v>401</v>
      </c>
      <c r="D57" s="2">
        <v>35837622.100000001</v>
      </c>
    </row>
    <row r="58" spans="1:4">
      <c r="A58" s="45" t="s">
        <v>273</v>
      </c>
      <c r="B58">
        <v>0</v>
      </c>
      <c r="C58" t="s">
        <v>402</v>
      </c>
      <c r="D58" s="2">
        <v>162276000</v>
      </c>
    </row>
    <row r="59" spans="1:4">
      <c r="A59" s="45" t="s">
        <v>274</v>
      </c>
      <c r="B59">
        <v>-8</v>
      </c>
      <c r="C59" t="s">
        <v>403</v>
      </c>
      <c r="D59" s="2">
        <v>-126438377.90000001</v>
      </c>
    </row>
    <row r="60" spans="1:4">
      <c r="A60" s="45" t="s">
        <v>275</v>
      </c>
      <c r="B60">
        <v>-8</v>
      </c>
      <c r="C60" t="s">
        <v>276</v>
      </c>
      <c r="D60" s="2">
        <v>2638564418.52</v>
      </c>
    </row>
    <row r="61" spans="1:4">
      <c r="A61" s="45" t="s">
        <v>277</v>
      </c>
      <c r="B61">
        <v>-6</v>
      </c>
      <c r="C61" t="s">
        <v>590</v>
      </c>
      <c r="D61" s="2">
        <v>2437270845.73</v>
      </c>
    </row>
    <row r="62" spans="1:4">
      <c r="A62" s="45" t="s">
        <v>278</v>
      </c>
      <c r="B62">
        <v>-4</v>
      </c>
      <c r="C62" t="s">
        <v>404</v>
      </c>
      <c r="D62" s="2">
        <v>14930652.029999999</v>
      </c>
    </row>
    <row r="63" spans="1:4">
      <c r="A63" s="45" t="s">
        <v>279</v>
      </c>
      <c r="B63">
        <v>-2</v>
      </c>
      <c r="C63" t="s">
        <v>405</v>
      </c>
      <c r="D63" s="2">
        <v>6880514.5099999998</v>
      </c>
    </row>
    <row r="64" spans="1:4">
      <c r="A64" s="45" t="s">
        <v>406</v>
      </c>
      <c r="B64">
        <v>0</v>
      </c>
      <c r="C64" t="s">
        <v>407</v>
      </c>
      <c r="D64" s="2">
        <v>37063734.409999996</v>
      </c>
    </row>
    <row r="65" spans="1:7">
      <c r="A65" s="45" t="s">
        <v>280</v>
      </c>
      <c r="B65">
        <v>0</v>
      </c>
      <c r="C65" t="s">
        <v>408</v>
      </c>
      <c r="D65" s="2">
        <v>1840770.2</v>
      </c>
      <c r="F65" s="48"/>
    </row>
    <row r="66" spans="1:7">
      <c r="A66" s="45" t="s">
        <v>281</v>
      </c>
      <c r="B66">
        <v>-9</v>
      </c>
      <c r="C66" t="s">
        <v>409</v>
      </c>
      <c r="D66" s="2">
        <v>2.5</v>
      </c>
      <c r="F66" s="2"/>
    </row>
    <row r="67" spans="1:7">
      <c r="A67" s="45" t="s">
        <v>282</v>
      </c>
      <c r="B67">
        <v>-7</v>
      </c>
      <c r="C67" t="s">
        <v>410</v>
      </c>
      <c r="D67" s="2">
        <v>32708898.859999999</v>
      </c>
      <c r="F67" s="48"/>
    </row>
    <row r="68" spans="1:7">
      <c r="A68" s="45" t="s">
        <v>283</v>
      </c>
      <c r="B68">
        <v>-5</v>
      </c>
      <c r="C68" t="s">
        <v>411</v>
      </c>
      <c r="D68" s="2">
        <v>18994.2</v>
      </c>
    </row>
    <row r="69" spans="1:7">
      <c r="A69" s="45" t="s">
        <v>284</v>
      </c>
      <c r="B69">
        <v>-1</v>
      </c>
      <c r="C69" t="s">
        <v>412</v>
      </c>
      <c r="D69" s="2">
        <v>61471779.280000001</v>
      </c>
    </row>
    <row r="70" spans="1:7">
      <c r="A70" s="45" t="s">
        <v>413</v>
      </c>
      <c r="B70">
        <v>0</v>
      </c>
      <c r="C70" t="s">
        <v>622</v>
      </c>
      <c r="D70" s="2">
        <v>1010953.34</v>
      </c>
    </row>
    <row r="71" spans="1:7">
      <c r="A71" s="45" t="s">
        <v>722</v>
      </c>
      <c r="B71">
        <v>-8</v>
      </c>
      <c r="C71" t="s">
        <v>723</v>
      </c>
      <c r="D71" s="2">
        <v>20900845.739999998</v>
      </c>
    </row>
    <row r="72" spans="1:7">
      <c r="A72" s="45" t="s">
        <v>623</v>
      </c>
      <c r="B72">
        <v>-6</v>
      </c>
      <c r="C72" t="s">
        <v>624</v>
      </c>
      <c r="D72" s="2">
        <v>24466427.719999999</v>
      </c>
    </row>
    <row r="73" spans="1:7">
      <c r="A73" s="45" t="s">
        <v>285</v>
      </c>
      <c r="B73">
        <v>-4</v>
      </c>
      <c r="C73" t="s">
        <v>415</v>
      </c>
      <c r="D73" s="2">
        <v>79314858.280000001</v>
      </c>
    </row>
    <row r="74" spans="1:7">
      <c r="A74" s="45" t="s">
        <v>286</v>
      </c>
      <c r="B74">
        <v>-2</v>
      </c>
      <c r="C74" t="s">
        <v>416</v>
      </c>
      <c r="D74" s="2">
        <v>79281286</v>
      </c>
    </row>
    <row r="75" spans="1:7">
      <c r="A75" s="45" t="s">
        <v>724</v>
      </c>
      <c r="B75">
        <v>0</v>
      </c>
      <c r="C75" t="s">
        <v>725</v>
      </c>
      <c r="D75" s="2">
        <v>33572.28</v>
      </c>
    </row>
    <row r="76" spans="1:7">
      <c r="A76" s="45" t="s">
        <v>287</v>
      </c>
      <c r="B76">
        <v>-7</v>
      </c>
      <c r="C76" t="s">
        <v>417</v>
      </c>
      <c r="D76" s="2">
        <v>142819380</v>
      </c>
    </row>
    <row r="77" spans="1:7">
      <c r="A77" s="45" t="s">
        <v>288</v>
      </c>
      <c r="B77">
        <v>-5</v>
      </c>
      <c r="C77" t="s">
        <v>418</v>
      </c>
      <c r="D77" s="2">
        <v>190425840</v>
      </c>
      <c r="G77" s="48"/>
    </row>
    <row r="78" spans="1:7">
      <c r="A78" s="45" t="s">
        <v>289</v>
      </c>
      <c r="B78">
        <v>-3</v>
      </c>
      <c r="C78" t="s">
        <v>419</v>
      </c>
      <c r="D78" s="2">
        <v>-47606460</v>
      </c>
      <c r="G78" s="48"/>
    </row>
    <row r="79" spans="1:7">
      <c r="A79" s="45" t="s">
        <v>322</v>
      </c>
      <c r="B79">
        <v>-8</v>
      </c>
      <c r="C79" t="s">
        <v>33</v>
      </c>
      <c r="D79" s="2">
        <v>75</v>
      </c>
      <c r="G79" s="2"/>
    </row>
    <row r="80" spans="1:7">
      <c r="A80" s="45" t="s">
        <v>34</v>
      </c>
      <c r="B80">
        <v>0</v>
      </c>
      <c r="C80" t="s">
        <v>35</v>
      </c>
      <c r="D80" s="2">
        <v>75</v>
      </c>
    </row>
    <row r="81" spans="1:4">
      <c r="A81" s="45" t="s">
        <v>420</v>
      </c>
      <c r="B81">
        <v>-8</v>
      </c>
      <c r="C81" t="s">
        <v>421</v>
      </c>
      <c r="D81" s="2">
        <v>1500</v>
      </c>
    </row>
    <row r="82" spans="1:4">
      <c r="A82" s="45" t="s">
        <v>422</v>
      </c>
      <c r="B82">
        <v>0</v>
      </c>
      <c r="C82" t="s">
        <v>423</v>
      </c>
      <c r="D82" s="2">
        <v>1500</v>
      </c>
    </row>
    <row r="83" spans="1:4">
      <c r="A83" s="45" t="s">
        <v>424</v>
      </c>
      <c r="B83">
        <v>-9</v>
      </c>
      <c r="C83" t="s">
        <v>423</v>
      </c>
      <c r="D83" s="2">
        <v>1500</v>
      </c>
    </row>
    <row r="84" spans="1:4">
      <c r="A84" s="45" t="s">
        <v>36</v>
      </c>
      <c r="B84">
        <v>-4</v>
      </c>
      <c r="C84" t="s">
        <v>37</v>
      </c>
      <c r="D84" s="2">
        <v>-1425</v>
      </c>
    </row>
    <row r="85" spans="1:4">
      <c r="A85" s="45" t="s">
        <v>38</v>
      </c>
      <c r="B85">
        <v>0</v>
      </c>
      <c r="C85" t="s">
        <v>425</v>
      </c>
      <c r="D85" s="2">
        <v>-1425</v>
      </c>
    </row>
    <row r="86" spans="1:4">
      <c r="A86" s="45" t="s">
        <v>39</v>
      </c>
      <c r="B86">
        <v>-4</v>
      </c>
      <c r="C86" t="s">
        <v>426</v>
      </c>
      <c r="D86" s="2">
        <v>-1425</v>
      </c>
    </row>
    <row r="87" spans="1:4">
      <c r="A87" s="45">
        <v>3</v>
      </c>
      <c r="B87">
        <v>0</v>
      </c>
      <c r="C87" t="s">
        <v>625</v>
      </c>
      <c r="D87" s="2">
        <v>74647059.890000001</v>
      </c>
    </row>
    <row r="88" spans="1:4">
      <c r="A88" s="45" t="s">
        <v>626</v>
      </c>
      <c r="B88">
        <v>0</v>
      </c>
      <c r="C88" t="s">
        <v>625</v>
      </c>
      <c r="D88" s="2">
        <v>74647059.890000001</v>
      </c>
    </row>
    <row r="89" spans="1:4">
      <c r="A89" s="45" t="s">
        <v>627</v>
      </c>
      <c r="B89">
        <v>-3</v>
      </c>
      <c r="C89" t="s">
        <v>628</v>
      </c>
      <c r="D89" s="2">
        <v>74647059.890000001</v>
      </c>
    </row>
    <row r="90" spans="1:4">
      <c r="A90" s="47" t="s">
        <v>629</v>
      </c>
      <c r="B90">
        <v>-7</v>
      </c>
      <c r="C90" t="s">
        <v>630</v>
      </c>
      <c r="D90" s="2">
        <v>74647059.890000001</v>
      </c>
    </row>
    <row r="91" spans="1:4">
      <c r="A91" s="45" t="s">
        <v>631</v>
      </c>
      <c r="B91">
        <v>-3</v>
      </c>
      <c r="C91" t="s">
        <v>630</v>
      </c>
      <c r="D91" s="2">
        <v>74647059.890000001</v>
      </c>
    </row>
    <row r="92" spans="1:4">
      <c r="A92" s="45" t="s">
        <v>632</v>
      </c>
      <c r="B92">
        <v>-8</v>
      </c>
      <c r="C92" t="s">
        <v>633</v>
      </c>
      <c r="D92" s="2">
        <v>35006416.810000002</v>
      </c>
    </row>
    <row r="93" spans="1:4">
      <c r="A93" s="45" t="s">
        <v>634</v>
      </c>
      <c r="B93">
        <v>-6</v>
      </c>
      <c r="C93" t="s">
        <v>635</v>
      </c>
      <c r="D93" s="2">
        <v>39640643.079999998</v>
      </c>
    </row>
    <row r="94" spans="1:4">
      <c r="A94" s="45">
        <v>8</v>
      </c>
      <c r="B94">
        <v>-1</v>
      </c>
      <c r="C94" t="s">
        <v>40</v>
      </c>
      <c r="D94" s="2">
        <v>246432966.33000001</v>
      </c>
    </row>
    <row r="95" spans="1:4">
      <c r="A95" s="45" t="s">
        <v>41</v>
      </c>
      <c r="B95">
        <v>-9</v>
      </c>
      <c r="C95" t="s">
        <v>42</v>
      </c>
      <c r="D95" s="2">
        <v>208354145.44999999</v>
      </c>
    </row>
    <row r="96" spans="1:4">
      <c r="A96" s="45" t="s">
        <v>334</v>
      </c>
      <c r="B96">
        <v>-8</v>
      </c>
      <c r="C96" t="s">
        <v>43</v>
      </c>
      <c r="D96" s="2">
        <v>179937188.61000001</v>
      </c>
    </row>
    <row r="97" spans="1:4">
      <c r="A97" s="45" t="s">
        <v>44</v>
      </c>
      <c r="B97">
        <v>-5</v>
      </c>
      <c r="C97" t="s">
        <v>45</v>
      </c>
      <c r="D97" s="2">
        <v>179937188.61000001</v>
      </c>
    </row>
    <row r="98" spans="1:4">
      <c r="A98" s="45" t="s">
        <v>46</v>
      </c>
      <c r="B98">
        <v>0</v>
      </c>
      <c r="C98" t="s">
        <v>47</v>
      </c>
      <c r="D98" s="2">
        <v>179937188.61000001</v>
      </c>
    </row>
    <row r="99" spans="1:4">
      <c r="A99" s="45" t="s">
        <v>48</v>
      </c>
      <c r="B99">
        <v>-5</v>
      </c>
      <c r="C99" t="s">
        <v>427</v>
      </c>
      <c r="D99" s="2">
        <v>154639990.65000001</v>
      </c>
    </row>
    <row r="100" spans="1:4">
      <c r="A100" s="45" t="s">
        <v>49</v>
      </c>
      <c r="B100">
        <v>-3</v>
      </c>
      <c r="C100" t="s">
        <v>428</v>
      </c>
      <c r="D100" s="2">
        <v>22132358.16</v>
      </c>
    </row>
    <row r="101" spans="1:4">
      <c r="A101" s="45" t="s">
        <v>50</v>
      </c>
      <c r="B101">
        <v>-2</v>
      </c>
      <c r="C101" t="s">
        <v>429</v>
      </c>
      <c r="D101" s="2">
        <v>3164839.8</v>
      </c>
    </row>
    <row r="102" spans="1:4">
      <c r="A102" s="45" t="s">
        <v>51</v>
      </c>
      <c r="B102">
        <v>-6</v>
      </c>
      <c r="C102" t="s">
        <v>52</v>
      </c>
      <c r="D102" s="2">
        <v>10351422.710000001</v>
      </c>
    </row>
    <row r="103" spans="1:4">
      <c r="A103" s="45" t="s">
        <v>53</v>
      </c>
      <c r="B103">
        <v>0</v>
      </c>
      <c r="C103" t="s">
        <v>54</v>
      </c>
      <c r="D103" s="2">
        <v>14807.52</v>
      </c>
    </row>
    <row r="104" spans="1:4">
      <c r="A104" s="45" t="s">
        <v>55</v>
      </c>
      <c r="B104">
        <v>-1</v>
      </c>
      <c r="C104" t="s">
        <v>430</v>
      </c>
      <c r="D104" s="2">
        <v>14807.52</v>
      </c>
    </row>
    <row r="105" spans="1:4">
      <c r="A105" s="45" t="s">
        <v>56</v>
      </c>
      <c r="B105">
        <v>0</v>
      </c>
      <c r="C105" t="s">
        <v>431</v>
      </c>
      <c r="D105" s="2">
        <v>14807.52</v>
      </c>
    </row>
    <row r="106" spans="1:4">
      <c r="A106" s="45" t="s">
        <v>57</v>
      </c>
      <c r="B106">
        <v>-3</v>
      </c>
      <c r="C106" t="s">
        <v>58</v>
      </c>
      <c r="D106" s="2">
        <v>203163.67</v>
      </c>
    </row>
    <row r="107" spans="1:4">
      <c r="A107" s="45" t="s">
        <v>59</v>
      </c>
      <c r="B107">
        <v>-5</v>
      </c>
      <c r="C107" t="s">
        <v>432</v>
      </c>
      <c r="D107" s="2">
        <v>203163.67</v>
      </c>
    </row>
    <row r="108" spans="1:4">
      <c r="A108" s="45" t="s">
        <v>60</v>
      </c>
      <c r="B108">
        <v>-3</v>
      </c>
      <c r="C108" t="s">
        <v>432</v>
      </c>
      <c r="D108" s="2">
        <v>203163.67</v>
      </c>
    </row>
    <row r="109" spans="1:4">
      <c r="A109" s="45" t="s">
        <v>61</v>
      </c>
      <c r="B109">
        <v>-6</v>
      </c>
      <c r="C109" t="s">
        <v>62</v>
      </c>
      <c r="D109" s="2">
        <v>2353974.4900000002</v>
      </c>
    </row>
    <row r="110" spans="1:4">
      <c r="A110" s="45" t="s">
        <v>63</v>
      </c>
      <c r="B110">
        <v>-3</v>
      </c>
      <c r="C110" t="s">
        <v>433</v>
      </c>
      <c r="D110" s="2">
        <v>2353974.4900000002</v>
      </c>
    </row>
    <row r="111" spans="1:4">
      <c r="A111" s="45" t="s">
        <v>64</v>
      </c>
      <c r="B111">
        <v>-1</v>
      </c>
      <c r="C111" t="s">
        <v>636</v>
      </c>
      <c r="D111" s="2">
        <v>1688457.37</v>
      </c>
    </row>
    <row r="112" spans="1:4">
      <c r="A112" s="45" t="s">
        <v>65</v>
      </c>
      <c r="B112">
        <v>0</v>
      </c>
      <c r="C112" t="s">
        <v>434</v>
      </c>
      <c r="D112" s="2">
        <v>114779.71</v>
      </c>
    </row>
    <row r="113" spans="1:4">
      <c r="A113" s="45" t="s">
        <v>66</v>
      </c>
      <c r="B113">
        <v>-8</v>
      </c>
      <c r="C113" t="s">
        <v>435</v>
      </c>
      <c r="D113" s="2">
        <v>313339.5</v>
      </c>
    </row>
    <row r="114" spans="1:4">
      <c r="A114" s="45" t="s">
        <v>67</v>
      </c>
      <c r="B114">
        <v>-4</v>
      </c>
      <c r="C114" t="s">
        <v>436</v>
      </c>
      <c r="D114" s="2">
        <v>143226.23000000001</v>
      </c>
    </row>
    <row r="115" spans="1:4">
      <c r="A115" s="45" t="s">
        <v>68</v>
      </c>
      <c r="B115">
        <v>0</v>
      </c>
      <c r="C115" t="s">
        <v>437</v>
      </c>
      <c r="D115" s="2">
        <v>34639.360000000001</v>
      </c>
    </row>
    <row r="116" spans="1:4">
      <c r="A116" s="45" t="s">
        <v>69</v>
      </c>
      <c r="B116">
        <v>-3</v>
      </c>
      <c r="C116" t="s">
        <v>446</v>
      </c>
      <c r="D116" s="2">
        <v>30791.21</v>
      </c>
    </row>
    <row r="117" spans="1:4">
      <c r="A117" s="45" t="s">
        <v>70</v>
      </c>
      <c r="B117">
        <v>-1</v>
      </c>
      <c r="C117" t="s">
        <v>447</v>
      </c>
      <c r="D117" s="2">
        <v>28741.11</v>
      </c>
    </row>
    <row r="118" spans="1:4">
      <c r="A118" s="45" t="s">
        <v>72</v>
      </c>
      <c r="B118">
        <v>-8</v>
      </c>
      <c r="C118" t="s">
        <v>73</v>
      </c>
      <c r="D118" s="2">
        <v>71545.98</v>
      </c>
    </row>
    <row r="119" spans="1:4">
      <c r="A119" s="45" t="s">
        <v>74</v>
      </c>
      <c r="B119">
        <v>0</v>
      </c>
      <c r="C119" t="s">
        <v>75</v>
      </c>
      <c r="D119" s="2">
        <v>71545.98</v>
      </c>
    </row>
    <row r="120" spans="1:4">
      <c r="A120" s="45" t="s">
        <v>76</v>
      </c>
      <c r="B120">
        <v>-8</v>
      </c>
      <c r="C120" t="s">
        <v>449</v>
      </c>
      <c r="D120" s="2">
        <v>71545.98</v>
      </c>
    </row>
    <row r="121" spans="1:4">
      <c r="A121" s="45" t="s">
        <v>77</v>
      </c>
      <c r="B121">
        <v>-5</v>
      </c>
      <c r="C121" t="s">
        <v>78</v>
      </c>
      <c r="D121" s="2">
        <v>239017.62</v>
      </c>
    </row>
    <row r="122" spans="1:4">
      <c r="A122" s="45" t="s">
        <v>79</v>
      </c>
      <c r="B122">
        <v>-3</v>
      </c>
      <c r="C122" t="s">
        <v>450</v>
      </c>
      <c r="D122" s="2">
        <v>239017.62</v>
      </c>
    </row>
    <row r="123" spans="1:4">
      <c r="A123" s="45" t="s">
        <v>80</v>
      </c>
      <c r="B123">
        <v>-1</v>
      </c>
      <c r="C123" t="s">
        <v>451</v>
      </c>
      <c r="D123" s="2">
        <v>24681.7</v>
      </c>
    </row>
    <row r="124" spans="1:4">
      <c r="A124" s="45" t="s">
        <v>81</v>
      </c>
      <c r="B124">
        <v>-8</v>
      </c>
      <c r="C124" t="s">
        <v>452</v>
      </c>
      <c r="D124" s="2">
        <v>214442.23999999999</v>
      </c>
    </row>
    <row r="125" spans="1:4">
      <c r="A125" s="45" t="s">
        <v>453</v>
      </c>
      <c r="B125">
        <v>-6</v>
      </c>
      <c r="C125" t="s">
        <v>454</v>
      </c>
      <c r="D125" s="2">
        <v>-106.32</v>
      </c>
    </row>
    <row r="126" spans="1:4">
      <c r="A126" s="45" t="s">
        <v>82</v>
      </c>
      <c r="B126">
        <v>-7</v>
      </c>
      <c r="C126" t="s">
        <v>83</v>
      </c>
      <c r="D126" s="2">
        <v>1658422.32</v>
      </c>
    </row>
    <row r="127" spans="1:4">
      <c r="A127" s="45" t="s">
        <v>84</v>
      </c>
      <c r="B127">
        <v>-5</v>
      </c>
      <c r="C127" t="s">
        <v>455</v>
      </c>
      <c r="D127" s="2">
        <v>302860.93</v>
      </c>
    </row>
    <row r="128" spans="1:4">
      <c r="A128" s="47" t="s">
        <v>85</v>
      </c>
      <c r="B128">
        <v>-3</v>
      </c>
      <c r="C128" t="s">
        <v>456</v>
      </c>
      <c r="D128" s="2">
        <v>286736.36</v>
      </c>
    </row>
    <row r="129" spans="1:4">
      <c r="A129" s="45" t="s">
        <v>86</v>
      </c>
      <c r="B129">
        <v>-1</v>
      </c>
      <c r="C129" t="s">
        <v>457</v>
      </c>
      <c r="D129" s="2">
        <v>16124.57</v>
      </c>
    </row>
    <row r="130" spans="1:4">
      <c r="A130" s="45" t="s">
        <v>87</v>
      </c>
      <c r="B130">
        <v>-7</v>
      </c>
      <c r="C130" t="s">
        <v>458</v>
      </c>
      <c r="D130" s="2">
        <v>931482.37</v>
      </c>
    </row>
    <row r="131" spans="1:4">
      <c r="A131" s="45" t="s">
        <v>88</v>
      </c>
      <c r="B131">
        <v>-5</v>
      </c>
      <c r="C131" t="s">
        <v>459</v>
      </c>
      <c r="D131" s="2">
        <v>931482.37</v>
      </c>
    </row>
    <row r="132" spans="1:4">
      <c r="A132" s="45" t="s">
        <v>89</v>
      </c>
      <c r="B132">
        <v>-2</v>
      </c>
      <c r="C132" t="s">
        <v>460</v>
      </c>
      <c r="D132" s="2">
        <v>329456.34999999998</v>
      </c>
    </row>
    <row r="133" spans="1:4">
      <c r="A133" s="45" t="s">
        <v>637</v>
      </c>
      <c r="B133">
        <v>0</v>
      </c>
      <c r="C133" t="s">
        <v>638</v>
      </c>
      <c r="D133" s="2">
        <v>311269.01</v>
      </c>
    </row>
    <row r="134" spans="1:4">
      <c r="A134" s="45" t="s">
        <v>90</v>
      </c>
      <c r="B134">
        <v>-9</v>
      </c>
      <c r="C134" t="s">
        <v>461</v>
      </c>
      <c r="D134" s="2">
        <v>18187.34</v>
      </c>
    </row>
    <row r="135" spans="1:4">
      <c r="A135" s="45" t="s">
        <v>91</v>
      </c>
      <c r="B135">
        <v>0</v>
      </c>
      <c r="C135" t="s">
        <v>462</v>
      </c>
      <c r="D135" s="2">
        <v>94622.67</v>
      </c>
    </row>
    <row r="136" spans="1:4">
      <c r="A136" s="45" t="s">
        <v>92</v>
      </c>
      <c r="B136">
        <v>-9</v>
      </c>
      <c r="C136" t="s">
        <v>463</v>
      </c>
      <c r="D136" s="2">
        <v>94622.67</v>
      </c>
    </row>
    <row r="137" spans="1:4">
      <c r="A137" s="45" t="s">
        <v>93</v>
      </c>
      <c r="B137">
        <v>0</v>
      </c>
      <c r="C137" t="s">
        <v>94</v>
      </c>
      <c r="D137" s="2">
        <v>3442611.36</v>
      </c>
    </row>
    <row r="138" spans="1:4">
      <c r="A138" s="45" t="s">
        <v>95</v>
      </c>
      <c r="B138">
        <v>-2</v>
      </c>
      <c r="C138" t="s">
        <v>464</v>
      </c>
      <c r="D138" s="2">
        <v>3442611.36</v>
      </c>
    </row>
    <row r="139" spans="1:4">
      <c r="A139" s="45" t="s">
        <v>96</v>
      </c>
      <c r="B139">
        <v>0</v>
      </c>
      <c r="C139" t="s">
        <v>465</v>
      </c>
      <c r="D139" s="2">
        <v>865877.22</v>
      </c>
    </row>
    <row r="140" spans="1:4">
      <c r="A140" s="45" t="s">
        <v>97</v>
      </c>
      <c r="B140">
        <v>-9</v>
      </c>
      <c r="C140" t="s">
        <v>466</v>
      </c>
      <c r="D140" s="2">
        <v>1103577.68</v>
      </c>
    </row>
    <row r="141" spans="1:4">
      <c r="A141" s="45" t="s">
        <v>98</v>
      </c>
      <c r="B141">
        <v>-7</v>
      </c>
      <c r="C141" t="s">
        <v>467</v>
      </c>
      <c r="D141" s="2">
        <v>79125.73</v>
      </c>
    </row>
    <row r="142" spans="1:4">
      <c r="A142" s="45" t="s">
        <v>99</v>
      </c>
      <c r="B142">
        <v>-5</v>
      </c>
      <c r="C142" t="s">
        <v>468</v>
      </c>
      <c r="D142" s="2">
        <v>65240.13</v>
      </c>
    </row>
    <row r="143" spans="1:4">
      <c r="A143" s="45" t="s">
        <v>100</v>
      </c>
      <c r="B143">
        <v>-1</v>
      </c>
      <c r="C143" t="s">
        <v>469</v>
      </c>
      <c r="D143" s="2">
        <v>611912.44999999995</v>
      </c>
    </row>
    <row r="144" spans="1:4">
      <c r="A144" s="45" t="s">
        <v>101</v>
      </c>
      <c r="B144">
        <v>-8</v>
      </c>
      <c r="C144" t="s">
        <v>470</v>
      </c>
      <c r="D144" s="2">
        <v>37505.410000000003</v>
      </c>
    </row>
    <row r="145" spans="1:4">
      <c r="A145" s="45" t="s">
        <v>102</v>
      </c>
      <c r="B145">
        <v>-4</v>
      </c>
      <c r="C145" t="s">
        <v>471</v>
      </c>
      <c r="D145" s="2">
        <v>223246.51</v>
      </c>
    </row>
    <row r="146" spans="1:4">
      <c r="A146" s="45" t="s">
        <v>103</v>
      </c>
      <c r="B146">
        <v>-2</v>
      </c>
      <c r="C146" t="s">
        <v>472</v>
      </c>
      <c r="D146" s="2">
        <v>412820.2</v>
      </c>
    </row>
    <row r="147" spans="1:4">
      <c r="A147" s="45" t="s">
        <v>104</v>
      </c>
      <c r="B147">
        <v>0</v>
      </c>
      <c r="C147" t="s">
        <v>473</v>
      </c>
      <c r="D147" s="2">
        <v>43155.78</v>
      </c>
    </row>
    <row r="148" spans="1:4">
      <c r="A148" s="45" t="s">
        <v>105</v>
      </c>
      <c r="B148">
        <v>-9</v>
      </c>
      <c r="C148" t="s">
        <v>474</v>
      </c>
      <c r="D148" s="2">
        <v>113.72</v>
      </c>
    </row>
    <row r="149" spans="1:4">
      <c r="A149" s="45" t="s">
        <v>475</v>
      </c>
      <c r="B149">
        <v>-1</v>
      </c>
      <c r="C149" t="s">
        <v>476</v>
      </c>
      <c r="D149" s="2">
        <v>36.53</v>
      </c>
    </row>
    <row r="150" spans="1:4">
      <c r="A150" s="45" t="s">
        <v>106</v>
      </c>
      <c r="B150">
        <v>-8</v>
      </c>
      <c r="C150" t="s">
        <v>107</v>
      </c>
      <c r="D150" s="2">
        <v>20495.25</v>
      </c>
    </row>
    <row r="151" spans="1:4">
      <c r="A151" s="45" t="s">
        <v>108</v>
      </c>
      <c r="B151">
        <v>0</v>
      </c>
      <c r="C151" t="s">
        <v>477</v>
      </c>
      <c r="D151" s="2">
        <v>20495.25</v>
      </c>
    </row>
    <row r="152" spans="1:4">
      <c r="A152" s="45" t="s">
        <v>109</v>
      </c>
      <c r="B152">
        <v>-8</v>
      </c>
      <c r="C152" t="s">
        <v>478</v>
      </c>
      <c r="D152" s="2">
        <v>20495.25</v>
      </c>
    </row>
    <row r="153" spans="1:4">
      <c r="A153" s="45" t="s">
        <v>110</v>
      </c>
      <c r="B153">
        <v>-1</v>
      </c>
      <c r="C153" t="s">
        <v>111</v>
      </c>
      <c r="D153" s="2">
        <v>1584800</v>
      </c>
    </row>
    <row r="154" spans="1:4">
      <c r="A154" s="45" t="s">
        <v>112</v>
      </c>
      <c r="B154">
        <v>-2</v>
      </c>
      <c r="C154" t="s">
        <v>479</v>
      </c>
      <c r="D154" s="2">
        <v>1584800</v>
      </c>
    </row>
    <row r="155" spans="1:4">
      <c r="A155" s="45" t="s">
        <v>113</v>
      </c>
      <c r="B155">
        <v>0</v>
      </c>
      <c r="C155" t="s">
        <v>480</v>
      </c>
      <c r="D155" s="2">
        <v>1584800</v>
      </c>
    </row>
    <row r="156" spans="1:4">
      <c r="A156" s="45" t="s">
        <v>114</v>
      </c>
      <c r="B156">
        <v>-9</v>
      </c>
      <c r="C156" t="s">
        <v>115</v>
      </c>
      <c r="D156" s="2">
        <v>607533.81999999995</v>
      </c>
    </row>
    <row r="157" spans="1:4">
      <c r="A157" s="45" t="s">
        <v>116</v>
      </c>
      <c r="B157">
        <v>0</v>
      </c>
      <c r="C157" t="s">
        <v>481</v>
      </c>
      <c r="D157" s="2">
        <v>607533.81999999995</v>
      </c>
    </row>
    <row r="158" spans="1:4">
      <c r="A158" s="45" t="s">
        <v>117</v>
      </c>
      <c r="B158">
        <v>-6</v>
      </c>
      <c r="C158" t="s">
        <v>482</v>
      </c>
      <c r="D158" s="2">
        <v>607533.81999999995</v>
      </c>
    </row>
    <row r="159" spans="1:4">
      <c r="A159" s="45" t="s">
        <v>118</v>
      </c>
      <c r="B159">
        <v>-4</v>
      </c>
      <c r="C159" t="s">
        <v>119</v>
      </c>
      <c r="D159" s="2">
        <v>38569.14</v>
      </c>
    </row>
    <row r="160" spans="1:4">
      <c r="A160" s="45" t="s">
        <v>120</v>
      </c>
      <c r="B160">
        <v>-5</v>
      </c>
      <c r="C160" t="s">
        <v>483</v>
      </c>
      <c r="D160" s="2">
        <v>38569.14</v>
      </c>
    </row>
    <row r="161" spans="1:4">
      <c r="A161" s="45" t="s">
        <v>121</v>
      </c>
      <c r="B161">
        <v>-3</v>
      </c>
      <c r="C161" t="s">
        <v>483</v>
      </c>
      <c r="D161" s="2">
        <v>38569.14</v>
      </c>
    </row>
    <row r="162" spans="1:4">
      <c r="A162" s="45" t="s">
        <v>122</v>
      </c>
      <c r="B162">
        <v>0</v>
      </c>
      <c r="C162" t="s">
        <v>123</v>
      </c>
      <c r="D162" s="2">
        <v>116481.54</v>
      </c>
    </row>
    <row r="163" spans="1:4">
      <c r="A163" s="45" t="s">
        <v>124</v>
      </c>
      <c r="B163">
        <v>-7</v>
      </c>
      <c r="C163" t="s">
        <v>484</v>
      </c>
      <c r="D163" s="2">
        <v>116481.54</v>
      </c>
    </row>
    <row r="164" spans="1:4">
      <c r="A164" s="45" t="s">
        <v>485</v>
      </c>
      <c r="B164">
        <v>-3</v>
      </c>
      <c r="C164" t="s">
        <v>486</v>
      </c>
      <c r="D164" s="2">
        <v>15000</v>
      </c>
    </row>
    <row r="165" spans="1:4">
      <c r="A165" s="45" t="s">
        <v>290</v>
      </c>
      <c r="B165">
        <v>-1</v>
      </c>
      <c r="C165" t="s">
        <v>487</v>
      </c>
      <c r="D165" s="2">
        <v>10</v>
      </c>
    </row>
    <row r="166" spans="1:4">
      <c r="A166" s="45" t="s">
        <v>125</v>
      </c>
      <c r="B166">
        <v>-6</v>
      </c>
      <c r="C166" t="s">
        <v>484</v>
      </c>
      <c r="D166" s="2">
        <v>101471.54</v>
      </c>
    </row>
    <row r="167" spans="1:4">
      <c r="A167" s="47" t="s">
        <v>126</v>
      </c>
      <c r="B167">
        <v>-4</v>
      </c>
      <c r="C167" t="s">
        <v>127</v>
      </c>
      <c r="D167" s="2">
        <v>300</v>
      </c>
    </row>
    <row r="168" spans="1:4">
      <c r="A168" s="45" t="s">
        <v>128</v>
      </c>
      <c r="B168">
        <v>-1</v>
      </c>
      <c r="C168" t="s">
        <v>129</v>
      </c>
      <c r="D168" s="2">
        <v>300</v>
      </c>
    </row>
    <row r="169" spans="1:4">
      <c r="A169" s="45" t="s">
        <v>130</v>
      </c>
      <c r="B169">
        <v>-7</v>
      </c>
      <c r="C169" t="s">
        <v>129</v>
      </c>
      <c r="D169" s="2">
        <v>300</v>
      </c>
    </row>
    <row r="170" spans="1:4">
      <c r="A170" s="45" t="s">
        <v>131</v>
      </c>
      <c r="B170">
        <v>-1</v>
      </c>
      <c r="C170" t="s">
        <v>488</v>
      </c>
      <c r="D170" s="2">
        <v>300</v>
      </c>
    </row>
    <row r="171" spans="1:4">
      <c r="A171" s="45" t="s">
        <v>337</v>
      </c>
      <c r="B171">
        <v>-2</v>
      </c>
      <c r="C171" t="s">
        <v>132</v>
      </c>
      <c r="D171" s="2">
        <v>18065234.129999999</v>
      </c>
    </row>
    <row r="172" spans="1:4">
      <c r="A172" s="45" t="s">
        <v>133</v>
      </c>
      <c r="B172">
        <v>-3</v>
      </c>
      <c r="C172" t="s">
        <v>134</v>
      </c>
      <c r="D172" s="2">
        <v>5526413.9000000004</v>
      </c>
    </row>
    <row r="173" spans="1:4">
      <c r="A173" s="45" t="s">
        <v>135</v>
      </c>
      <c r="B173">
        <v>-5</v>
      </c>
      <c r="C173" t="s">
        <v>489</v>
      </c>
      <c r="D173" s="2">
        <v>5449581.4500000002</v>
      </c>
    </row>
    <row r="174" spans="1:4">
      <c r="A174" s="45" t="s">
        <v>136</v>
      </c>
      <c r="B174">
        <v>-3</v>
      </c>
      <c r="C174" t="s">
        <v>489</v>
      </c>
      <c r="D174" s="2">
        <v>5449581.4500000002</v>
      </c>
    </row>
    <row r="175" spans="1:4">
      <c r="A175" s="45" t="s">
        <v>490</v>
      </c>
      <c r="B175">
        <v>-4</v>
      </c>
      <c r="C175" t="s">
        <v>491</v>
      </c>
      <c r="D175" s="2">
        <v>76832.45</v>
      </c>
    </row>
    <row r="176" spans="1:4">
      <c r="A176" s="45" t="s">
        <v>492</v>
      </c>
      <c r="B176">
        <v>-3</v>
      </c>
      <c r="C176" t="s">
        <v>493</v>
      </c>
      <c r="D176" s="2">
        <v>76832.45</v>
      </c>
    </row>
    <row r="177" spans="1:4">
      <c r="A177" s="45" t="s">
        <v>137</v>
      </c>
      <c r="B177">
        <v>-7</v>
      </c>
      <c r="C177" t="s">
        <v>138</v>
      </c>
      <c r="D177" s="2">
        <v>1199813.55</v>
      </c>
    </row>
    <row r="178" spans="1:4">
      <c r="A178" s="45" t="s">
        <v>139</v>
      </c>
      <c r="B178">
        <v>-9</v>
      </c>
      <c r="C178" t="s">
        <v>494</v>
      </c>
      <c r="D178" s="2">
        <v>1183132.82</v>
      </c>
    </row>
    <row r="179" spans="1:4">
      <c r="A179" s="45" t="s">
        <v>140</v>
      </c>
      <c r="B179">
        <v>-7</v>
      </c>
      <c r="C179" t="s">
        <v>495</v>
      </c>
      <c r="D179" s="2">
        <v>1183132.82</v>
      </c>
    </row>
    <row r="180" spans="1:4">
      <c r="A180" s="45" t="s">
        <v>496</v>
      </c>
      <c r="B180">
        <v>-8</v>
      </c>
      <c r="C180" t="s">
        <v>497</v>
      </c>
      <c r="D180" s="2">
        <v>16680.73</v>
      </c>
    </row>
    <row r="181" spans="1:4">
      <c r="A181" s="45" t="s">
        <v>498</v>
      </c>
      <c r="B181">
        <v>-7</v>
      </c>
      <c r="C181" t="s">
        <v>499</v>
      </c>
      <c r="D181" s="2">
        <v>16680.73</v>
      </c>
    </row>
    <row r="182" spans="1:4">
      <c r="A182" s="45" t="s">
        <v>141</v>
      </c>
      <c r="B182">
        <v>-6</v>
      </c>
      <c r="C182" t="s">
        <v>132</v>
      </c>
      <c r="D182" s="2">
        <v>11339006.68</v>
      </c>
    </row>
    <row r="183" spans="1:4">
      <c r="A183" s="45" t="s">
        <v>142</v>
      </c>
      <c r="B183">
        <v>-3</v>
      </c>
      <c r="C183" t="s">
        <v>143</v>
      </c>
      <c r="D183" s="2">
        <v>11339006.68</v>
      </c>
    </row>
    <row r="184" spans="1:4">
      <c r="A184" s="45" t="s">
        <v>144</v>
      </c>
      <c r="B184">
        <v>-1</v>
      </c>
      <c r="C184" t="s">
        <v>500</v>
      </c>
      <c r="D184" s="2">
        <v>547.33000000000004</v>
      </c>
    </row>
    <row r="185" spans="1:4">
      <c r="A185" s="45" t="s">
        <v>501</v>
      </c>
      <c r="B185">
        <v>0</v>
      </c>
      <c r="C185" t="s">
        <v>502</v>
      </c>
      <c r="D185" s="2">
        <v>943676.94</v>
      </c>
    </row>
    <row r="186" spans="1:4">
      <c r="A186" s="45" t="s">
        <v>338</v>
      </c>
      <c r="B186">
        <v>-8</v>
      </c>
      <c r="C186" t="s">
        <v>503</v>
      </c>
      <c r="D186" s="2">
        <v>9469445.2599999998</v>
      </c>
    </row>
    <row r="187" spans="1:4">
      <c r="A187" s="45" t="s">
        <v>145</v>
      </c>
      <c r="B187">
        <v>-6</v>
      </c>
      <c r="C187" t="s">
        <v>504</v>
      </c>
      <c r="D187" s="2">
        <v>3904.79</v>
      </c>
    </row>
    <row r="188" spans="1:4">
      <c r="A188" s="45" t="s">
        <v>146</v>
      </c>
      <c r="B188">
        <v>-4</v>
      </c>
      <c r="C188" t="s">
        <v>505</v>
      </c>
      <c r="D188" s="2">
        <v>921432.36</v>
      </c>
    </row>
    <row r="189" spans="1:4">
      <c r="A189" s="45" t="s">
        <v>147</v>
      </c>
      <c r="B189">
        <v>-7</v>
      </c>
      <c r="C189" t="s">
        <v>148</v>
      </c>
      <c r="D189" s="2">
        <v>38078820.880000003</v>
      </c>
    </row>
    <row r="190" spans="1:4">
      <c r="A190" s="45" t="s">
        <v>149</v>
      </c>
      <c r="B190">
        <v>0</v>
      </c>
      <c r="C190" t="s">
        <v>150</v>
      </c>
      <c r="D190" s="2">
        <v>38078820.880000003</v>
      </c>
    </row>
    <row r="191" spans="1:4">
      <c r="A191" s="45" t="s">
        <v>151</v>
      </c>
      <c r="B191">
        <v>-3</v>
      </c>
      <c r="C191" t="s">
        <v>150</v>
      </c>
      <c r="D191" s="2">
        <v>27993038.469999999</v>
      </c>
    </row>
    <row r="192" spans="1:4">
      <c r="A192" s="45" t="s">
        <v>341</v>
      </c>
      <c r="B192">
        <v>-5</v>
      </c>
      <c r="C192" t="s">
        <v>506</v>
      </c>
      <c r="D192" s="2">
        <v>27770863.710000001</v>
      </c>
    </row>
    <row r="193" spans="1:4">
      <c r="A193" s="45" t="s">
        <v>152</v>
      </c>
      <c r="B193">
        <v>-3</v>
      </c>
      <c r="C193" t="s">
        <v>506</v>
      </c>
      <c r="D193" s="2">
        <v>27770863.710000001</v>
      </c>
    </row>
    <row r="194" spans="1:4">
      <c r="A194" s="45" t="s">
        <v>507</v>
      </c>
      <c r="B194">
        <v>-4</v>
      </c>
      <c r="C194" t="s">
        <v>602</v>
      </c>
      <c r="D194" s="2">
        <v>229360.04</v>
      </c>
    </row>
    <row r="195" spans="1:4">
      <c r="A195" s="45" t="s">
        <v>508</v>
      </c>
      <c r="B195">
        <v>-5</v>
      </c>
      <c r="C195" t="s">
        <v>509</v>
      </c>
      <c r="D195" s="2">
        <v>229360.04</v>
      </c>
    </row>
    <row r="196" spans="1:4">
      <c r="A196" s="45" t="s">
        <v>153</v>
      </c>
      <c r="B196">
        <v>-6</v>
      </c>
      <c r="C196" t="s">
        <v>510</v>
      </c>
      <c r="D196" s="2">
        <v>-7185.28</v>
      </c>
    </row>
    <row r="197" spans="1:4">
      <c r="A197" s="45" t="s">
        <v>343</v>
      </c>
      <c r="B197">
        <v>-4</v>
      </c>
      <c r="C197" t="s">
        <v>511</v>
      </c>
      <c r="D197" s="2">
        <v>-7185.28</v>
      </c>
    </row>
    <row r="198" spans="1:4">
      <c r="A198" s="45" t="s">
        <v>154</v>
      </c>
      <c r="B198">
        <v>-7</v>
      </c>
      <c r="C198" t="s">
        <v>155</v>
      </c>
      <c r="D198" s="2">
        <v>10085782.41</v>
      </c>
    </row>
    <row r="199" spans="1:4">
      <c r="A199" s="45" t="s">
        <v>342</v>
      </c>
      <c r="B199">
        <v>-9</v>
      </c>
      <c r="C199" t="s">
        <v>512</v>
      </c>
      <c r="D199" s="2">
        <v>10005799.5</v>
      </c>
    </row>
    <row r="200" spans="1:4">
      <c r="A200" s="45" t="s">
        <v>156</v>
      </c>
      <c r="B200">
        <v>-7</v>
      </c>
      <c r="C200" t="s">
        <v>512</v>
      </c>
      <c r="D200" s="2">
        <v>10005799.5</v>
      </c>
    </row>
    <row r="201" spans="1:4">
      <c r="A201" s="45" t="s">
        <v>513</v>
      </c>
      <c r="B201">
        <v>-8</v>
      </c>
      <c r="C201" t="s">
        <v>726</v>
      </c>
      <c r="D201" s="2">
        <v>82569.61</v>
      </c>
    </row>
    <row r="202" spans="1:4">
      <c r="A202" s="45" t="s">
        <v>514</v>
      </c>
      <c r="B202">
        <v>-9</v>
      </c>
      <c r="C202" t="s">
        <v>515</v>
      </c>
      <c r="D202" s="2">
        <v>82569.61</v>
      </c>
    </row>
    <row r="203" spans="1:4">
      <c r="A203" s="45" t="s">
        <v>157</v>
      </c>
      <c r="B203">
        <v>0</v>
      </c>
      <c r="C203" t="s">
        <v>516</v>
      </c>
      <c r="D203" s="2">
        <v>-2586.6999999999998</v>
      </c>
    </row>
    <row r="204" spans="1:4">
      <c r="A204" s="47" t="s">
        <v>344</v>
      </c>
      <c r="B204">
        <v>-8</v>
      </c>
      <c r="C204" t="s">
        <v>517</v>
      </c>
      <c r="D204" s="2">
        <v>-2586.6999999999998</v>
      </c>
    </row>
    <row r="205" spans="1:4">
      <c r="A205" s="45">
        <v>4</v>
      </c>
      <c r="B205">
        <v>-6</v>
      </c>
      <c r="C205" t="s">
        <v>345</v>
      </c>
      <c r="D205" s="2">
        <v>496468837.75</v>
      </c>
    </row>
    <row r="206" spans="1:4">
      <c r="A206" s="45" t="s">
        <v>158</v>
      </c>
      <c r="B206">
        <v>-1</v>
      </c>
      <c r="C206" t="s">
        <v>159</v>
      </c>
      <c r="D206" s="2">
        <v>496468837.75</v>
      </c>
    </row>
    <row r="207" spans="1:4">
      <c r="A207" s="45" t="s">
        <v>323</v>
      </c>
      <c r="B207">
        <v>-6</v>
      </c>
      <c r="C207" t="s">
        <v>308</v>
      </c>
      <c r="D207" s="2">
        <v>196736373.74000001</v>
      </c>
    </row>
    <row r="208" spans="1:4">
      <c r="A208" s="45" t="s">
        <v>309</v>
      </c>
      <c r="B208">
        <v>0</v>
      </c>
      <c r="C208" t="s">
        <v>310</v>
      </c>
      <c r="D208" s="2">
        <v>196736373.74000001</v>
      </c>
    </row>
    <row r="209" spans="1:7">
      <c r="A209" s="45" t="s">
        <v>311</v>
      </c>
      <c r="B209">
        <v>-1</v>
      </c>
      <c r="C209" t="s">
        <v>729</v>
      </c>
      <c r="D209" s="2">
        <v>196736373.74000001</v>
      </c>
    </row>
    <row r="210" spans="1:7">
      <c r="A210" s="45" t="s">
        <v>247</v>
      </c>
      <c r="B210">
        <v>0</v>
      </c>
      <c r="C210" t="s">
        <v>730</v>
      </c>
      <c r="D210" s="2">
        <v>196736373.74000001</v>
      </c>
    </row>
    <row r="211" spans="1:7">
      <c r="A211" s="45" t="s">
        <v>160</v>
      </c>
      <c r="B211">
        <v>-4</v>
      </c>
      <c r="C211" t="s">
        <v>161</v>
      </c>
      <c r="D211" s="2">
        <v>294025728.44999999</v>
      </c>
      <c r="F211" t="s">
        <v>324</v>
      </c>
      <c r="G211" s="2">
        <f>+D212</f>
        <v>20106491.969999999</v>
      </c>
    </row>
    <row r="212" spans="1:7">
      <c r="A212" s="45" t="s">
        <v>324</v>
      </c>
      <c r="B212">
        <v>-8</v>
      </c>
      <c r="C212" t="s">
        <v>518</v>
      </c>
      <c r="D212" s="2">
        <v>20106491.969999999</v>
      </c>
      <c r="F212" t="s">
        <v>524</v>
      </c>
      <c r="G212" s="2">
        <f>+D218</f>
        <v>73439.63</v>
      </c>
    </row>
    <row r="213" spans="1:7">
      <c r="A213" s="45" t="s">
        <v>162</v>
      </c>
      <c r="B213">
        <v>0</v>
      </c>
      <c r="C213" t="s">
        <v>519</v>
      </c>
      <c r="D213" s="2">
        <v>20106491.969999999</v>
      </c>
      <c r="F213" t="s">
        <v>325</v>
      </c>
      <c r="G213" s="2">
        <f>+D226</f>
        <v>428928.08</v>
      </c>
    </row>
    <row r="214" spans="1:7">
      <c r="A214" s="45" t="s">
        <v>301</v>
      </c>
      <c r="B214">
        <v>-8</v>
      </c>
      <c r="C214" t="s">
        <v>520</v>
      </c>
      <c r="D214" s="2">
        <v>9204587.2200000007</v>
      </c>
      <c r="G214" s="2">
        <f>+G213+G212+G211</f>
        <v>20608859.68</v>
      </c>
    </row>
    <row r="215" spans="1:7">
      <c r="A215" s="45" t="s">
        <v>163</v>
      </c>
      <c r="B215">
        <v>-6</v>
      </c>
      <c r="C215" t="s">
        <v>521</v>
      </c>
      <c r="D215" s="2">
        <v>4405079.59</v>
      </c>
    </row>
    <row r="216" spans="1:7">
      <c r="A216" s="45" t="s">
        <v>164</v>
      </c>
      <c r="B216">
        <v>-4</v>
      </c>
      <c r="C216" t="s">
        <v>522</v>
      </c>
      <c r="D216" s="2">
        <v>5337932.0199999996</v>
      </c>
    </row>
    <row r="217" spans="1:7">
      <c r="A217" s="45" t="s">
        <v>165</v>
      </c>
      <c r="B217">
        <v>-2</v>
      </c>
      <c r="C217" t="s">
        <v>523</v>
      </c>
      <c r="D217" s="2">
        <v>1158893.1399999999</v>
      </c>
    </row>
    <row r="218" spans="1:7">
      <c r="A218" s="45" t="s">
        <v>524</v>
      </c>
      <c r="B218">
        <v>-1</v>
      </c>
      <c r="C218" t="s">
        <v>525</v>
      </c>
      <c r="D218" s="2">
        <v>73439.63</v>
      </c>
    </row>
    <row r="219" spans="1:7">
      <c r="A219" s="45" t="s">
        <v>526</v>
      </c>
      <c r="B219">
        <v>-9</v>
      </c>
      <c r="C219" t="s">
        <v>527</v>
      </c>
      <c r="D219" s="2">
        <v>73439.63</v>
      </c>
    </row>
    <row r="220" spans="1:7">
      <c r="A220" s="45" t="s">
        <v>528</v>
      </c>
      <c r="B220">
        <v>-5</v>
      </c>
      <c r="C220" t="s">
        <v>529</v>
      </c>
      <c r="D220" s="2">
        <v>73439.63</v>
      </c>
    </row>
    <row r="221" spans="1:7">
      <c r="A221" s="45" t="s">
        <v>326</v>
      </c>
      <c r="B221">
        <v>-5</v>
      </c>
      <c r="C221" t="s">
        <v>530</v>
      </c>
      <c r="D221" s="2">
        <v>273845796.85000002</v>
      </c>
    </row>
    <row r="222" spans="1:7">
      <c r="A222" s="45" t="s">
        <v>166</v>
      </c>
      <c r="B222">
        <v>-1</v>
      </c>
      <c r="C222" t="s">
        <v>167</v>
      </c>
      <c r="D222" s="2">
        <v>273845796.85000002</v>
      </c>
    </row>
    <row r="223" spans="1:7">
      <c r="A223" s="45" t="s">
        <v>168</v>
      </c>
      <c r="B223">
        <v>0</v>
      </c>
      <c r="C223" t="s">
        <v>531</v>
      </c>
      <c r="D223" s="2">
        <v>210684754.06999999</v>
      </c>
    </row>
    <row r="224" spans="1:7">
      <c r="A224" s="45" t="s">
        <v>169</v>
      </c>
      <c r="B224">
        <v>-8</v>
      </c>
      <c r="C224" t="s">
        <v>532</v>
      </c>
      <c r="D224" s="2">
        <v>63161042.780000001</v>
      </c>
    </row>
    <row r="225" spans="1:4">
      <c r="A225" s="45" t="s">
        <v>325</v>
      </c>
      <c r="B225">
        <v>-5</v>
      </c>
      <c r="C225" t="s">
        <v>170</v>
      </c>
      <c r="D225" s="2">
        <v>5706735.5599999996</v>
      </c>
    </row>
    <row r="226" spans="1:4">
      <c r="A226" s="45" t="s">
        <v>171</v>
      </c>
      <c r="B226">
        <v>-6</v>
      </c>
      <c r="C226" t="s">
        <v>172</v>
      </c>
      <c r="D226" s="2">
        <v>428928.08</v>
      </c>
    </row>
    <row r="227" spans="1:4">
      <c r="A227" s="45" t="s">
        <v>173</v>
      </c>
      <c r="B227">
        <v>-8</v>
      </c>
      <c r="C227" t="s">
        <v>533</v>
      </c>
      <c r="D227" s="2">
        <v>428928.08</v>
      </c>
    </row>
    <row r="228" spans="1:4">
      <c r="A228" s="45" t="s">
        <v>174</v>
      </c>
      <c r="B228">
        <v>-9</v>
      </c>
      <c r="C228" t="s">
        <v>542</v>
      </c>
      <c r="D228" s="2">
        <v>316779.36</v>
      </c>
    </row>
    <row r="229" spans="1:4">
      <c r="A229" s="45" t="s">
        <v>175</v>
      </c>
      <c r="B229">
        <v>-7</v>
      </c>
      <c r="C229" t="s">
        <v>543</v>
      </c>
      <c r="D229" s="2">
        <v>87985.26</v>
      </c>
    </row>
    <row r="230" spans="1:4">
      <c r="A230" s="45" t="s">
        <v>176</v>
      </c>
      <c r="B230">
        <v>-5</v>
      </c>
      <c r="C230" t="s">
        <v>544</v>
      </c>
      <c r="D230" s="2">
        <v>24163.46</v>
      </c>
    </row>
    <row r="231" spans="1:4">
      <c r="A231" s="45" t="s">
        <v>545</v>
      </c>
      <c r="B231">
        <v>-7</v>
      </c>
      <c r="C231" t="s">
        <v>546</v>
      </c>
      <c r="D231" s="2">
        <v>2013542.19</v>
      </c>
    </row>
    <row r="232" spans="1:4">
      <c r="A232" s="45" t="s">
        <v>547</v>
      </c>
      <c r="B232">
        <v>-2</v>
      </c>
      <c r="C232" t="s">
        <v>546</v>
      </c>
      <c r="D232" s="2">
        <v>2013542.19</v>
      </c>
    </row>
    <row r="233" spans="1:4">
      <c r="A233" s="45" t="s">
        <v>548</v>
      </c>
      <c r="B233">
        <v>-7</v>
      </c>
      <c r="C233" t="s">
        <v>549</v>
      </c>
      <c r="D233" s="2">
        <v>2013542.19</v>
      </c>
    </row>
    <row r="234" spans="1:4">
      <c r="A234" s="45" t="s">
        <v>177</v>
      </c>
      <c r="B234">
        <v>-7</v>
      </c>
      <c r="C234" t="s">
        <v>178</v>
      </c>
      <c r="D234" s="2">
        <v>3264265.29</v>
      </c>
    </row>
    <row r="235" spans="1:4">
      <c r="A235" s="45" t="s">
        <v>179</v>
      </c>
      <c r="B235">
        <v>0</v>
      </c>
      <c r="C235" t="s">
        <v>550</v>
      </c>
      <c r="D235" s="2">
        <v>3264265.29</v>
      </c>
    </row>
    <row r="236" spans="1:4">
      <c r="A236" s="45" t="s">
        <v>180</v>
      </c>
      <c r="B236">
        <v>-9</v>
      </c>
      <c r="C236" t="s">
        <v>551</v>
      </c>
      <c r="D236" s="2">
        <v>242178.11</v>
      </c>
    </row>
    <row r="237" spans="1:4">
      <c r="A237" s="45" t="s">
        <v>181</v>
      </c>
      <c r="B237">
        <v>-7</v>
      </c>
      <c r="C237" t="s">
        <v>552</v>
      </c>
      <c r="D237" s="2">
        <v>490420.18</v>
      </c>
    </row>
    <row r="238" spans="1:4">
      <c r="A238" s="45" t="s">
        <v>182</v>
      </c>
      <c r="B238">
        <v>-5</v>
      </c>
      <c r="C238" t="s">
        <v>553</v>
      </c>
      <c r="D238" s="2">
        <v>31248.01</v>
      </c>
    </row>
    <row r="239" spans="1:4">
      <c r="A239" s="45" t="s">
        <v>183</v>
      </c>
      <c r="B239">
        <v>-1</v>
      </c>
      <c r="C239" t="s">
        <v>554</v>
      </c>
      <c r="D239" s="2">
        <v>2500418.9900000002</v>
      </c>
    </row>
    <row r="240" spans="1:4">
      <c r="A240" s="45">
        <v>6</v>
      </c>
      <c r="B240">
        <v>-9</v>
      </c>
      <c r="C240" t="s">
        <v>184</v>
      </c>
      <c r="D240" s="2">
        <v>4858695773.04</v>
      </c>
    </row>
    <row r="241" spans="1:4">
      <c r="A241" s="45" t="s">
        <v>185</v>
      </c>
      <c r="B241">
        <v>-6</v>
      </c>
      <c r="C241" t="s">
        <v>184</v>
      </c>
      <c r="D241" s="2">
        <v>4858695773.04</v>
      </c>
    </row>
    <row r="242" spans="1:4">
      <c r="A242" s="45" t="s">
        <v>186</v>
      </c>
      <c r="B242">
        <v>-4</v>
      </c>
      <c r="C242" t="s">
        <v>187</v>
      </c>
      <c r="D242" s="2">
        <v>4000000000</v>
      </c>
    </row>
    <row r="243" spans="1:4">
      <c r="A243" s="45" t="s">
        <v>327</v>
      </c>
      <c r="B243">
        <v>-8</v>
      </c>
      <c r="C243" t="s">
        <v>188</v>
      </c>
      <c r="D243" s="2">
        <v>4000000000</v>
      </c>
    </row>
    <row r="244" spans="1:4">
      <c r="A244" s="45" t="s">
        <v>189</v>
      </c>
      <c r="B244">
        <v>-3</v>
      </c>
      <c r="C244" t="s">
        <v>190</v>
      </c>
      <c r="D244" s="2">
        <v>4000000000</v>
      </c>
    </row>
    <row r="245" spans="1:4">
      <c r="A245" s="45" t="s">
        <v>191</v>
      </c>
      <c r="B245">
        <v>-3</v>
      </c>
      <c r="C245" t="s">
        <v>591</v>
      </c>
      <c r="D245" s="2">
        <v>4000000000</v>
      </c>
    </row>
    <row r="246" spans="1:4">
      <c r="A246" s="45" t="s">
        <v>291</v>
      </c>
      <c r="B246">
        <v>0</v>
      </c>
      <c r="C246" t="s">
        <v>292</v>
      </c>
      <c r="D246" s="2">
        <v>167259.56</v>
      </c>
    </row>
    <row r="247" spans="1:4">
      <c r="A247" s="45" t="s">
        <v>293</v>
      </c>
      <c r="B247">
        <v>-4</v>
      </c>
      <c r="C247" t="s">
        <v>294</v>
      </c>
      <c r="D247" s="2">
        <v>167259.56</v>
      </c>
    </row>
    <row r="248" spans="1:4">
      <c r="A248" s="45" t="s">
        <v>295</v>
      </c>
      <c r="B248">
        <v>-5</v>
      </c>
      <c r="C248" t="s">
        <v>294</v>
      </c>
      <c r="D248" s="2">
        <v>167259.56</v>
      </c>
    </row>
    <row r="249" spans="1:4">
      <c r="A249" s="47" t="s">
        <v>296</v>
      </c>
      <c r="B249">
        <v>-8</v>
      </c>
      <c r="C249" t="s">
        <v>556</v>
      </c>
      <c r="D249" s="2">
        <v>167259.56</v>
      </c>
    </row>
    <row r="250" spans="1:4">
      <c r="A250" s="45" t="s">
        <v>330</v>
      </c>
      <c r="B250">
        <v>-7</v>
      </c>
      <c r="C250" t="s">
        <v>196</v>
      </c>
      <c r="D250" s="2">
        <v>1358513588.05</v>
      </c>
    </row>
    <row r="251" spans="1:4">
      <c r="A251" s="45" t="s">
        <v>197</v>
      </c>
      <c r="B251">
        <v>0</v>
      </c>
      <c r="C251" t="s">
        <v>198</v>
      </c>
      <c r="D251" s="2">
        <v>144135793.43000001</v>
      </c>
    </row>
    <row r="252" spans="1:4">
      <c r="A252" s="45" t="s">
        <v>199</v>
      </c>
      <c r="B252">
        <v>-1</v>
      </c>
      <c r="C252" t="s">
        <v>557</v>
      </c>
      <c r="D252" s="2">
        <v>144135793.43000001</v>
      </c>
    </row>
    <row r="253" spans="1:4">
      <c r="A253" s="45" t="s">
        <v>200</v>
      </c>
      <c r="B253">
        <v>0</v>
      </c>
      <c r="C253" t="s">
        <v>557</v>
      </c>
      <c r="D253" s="2">
        <v>144135793.43000001</v>
      </c>
    </row>
    <row r="254" spans="1:4">
      <c r="A254" s="45" t="s">
        <v>201</v>
      </c>
      <c r="B254">
        <v>-4</v>
      </c>
      <c r="C254" t="s">
        <v>202</v>
      </c>
      <c r="D254" s="2">
        <v>1214377794.6199999</v>
      </c>
    </row>
    <row r="255" spans="1:4">
      <c r="A255" s="45" t="s">
        <v>203</v>
      </c>
      <c r="B255">
        <v>0</v>
      </c>
      <c r="C255" t="s">
        <v>202</v>
      </c>
      <c r="D255" s="2">
        <v>1214377794.6199999</v>
      </c>
    </row>
    <row r="256" spans="1:4">
      <c r="A256" s="45" t="s">
        <v>204</v>
      </c>
      <c r="B256">
        <v>-4</v>
      </c>
      <c r="C256" t="s">
        <v>558</v>
      </c>
      <c r="D256" s="2">
        <v>1214377794.6199999</v>
      </c>
    </row>
    <row r="257" spans="1:4">
      <c r="A257" s="45" t="s">
        <v>329</v>
      </c>
      <c r="B257">
        <v>-5</v>
      </c>
      <c r="C257" t="s">
        <v>205</v>
      </c>
      <c r="D257" s="2">
        <v>328378604.33999997</v>
      </c>
    </row>
    <row r="258" spans="1:4">
      <c r="A258" s="45" t="s">
        <v>206</v>
      </c>
      <c r="B258">
        <v>-9</v>
      </c>
      <c r="C258" t="s">
        <v>207</v>
      </c>
      <c r="D258" s="2">
        <v>317398267.26999998</v>
      </c>
    </row>
    <row r="259" spans="1:4">
      <c r="A259" s="45" t="s">
        <v>208</v>
      </c>
      <c r="B259">
        <v>-4</v>
      </c>
      <c r="C259" t="s">
        <v>209</v>
      </c>
      <c r="D259" s="2">
        <v>408370776.81</v>
      </c>
    </row>
    <row r="260" spans="1:4">
      <c r="A260" s="45" t="s">
        <v>210</v>
      </c>
      <c r="B260">
        <v>-9</v>
      </c>
      <c r="C260" t="s">
        <v>559</v>
      </c>
      <c r="D260" s="2">
        <v>681811130.83000004</v>
      </c>
    </row>
    <row r="261" spans="1:4">
      <c r="A261" s="45" t="s">
        <v>211</v>
      </c>
      <c r="B261">
        <v>-7</v>
      </c>
      <c r="C261" t="s">
        <v>212</v>
      </c>
      <c r="D261" s="2">
        <v>-273440354.01999998</v>
      </c>
    </row>
    <row r="262" spans="1:4">
      <c r="A262" s="45" t="s">
        <v>213</v>
      </c>
      <c r="B262">
        <v>0</v>
      </c>
      <c r="C262" t="s">
        <v>560</v>
      </c>
      <c r="D262" s="2">
        <v>-90972509.540000007</v>
      </c>
    </row>
    <row r="263" spans="1:4">
      <c r="A263" s="45" t="s">
        <v>214</v>
      </c>
      <c r="B263">
        <v>-1</v>
      </c>
      <c r="C263" t="s">
        <v>561</v>
      </c>
      <c r="D263" s="2">
        <v>-90972509.540000007</v>
      </c>
    </row>
    <row r="264" spans="1:4">
      <c r="A264" s="45" t="s">
        <v>297</v>
      </c>
      <c r="B264">
        <v>-8</v>
      </c>
      <c r="C264" t="s">
        <v>298</v>
      </c>
      <c r="D264" s="2">
        <v>10980337.07</v>
      </c>
    </row>
    <row r="265" spans="1:4">
      <c r="A265" s="45" t="s">
        <v>299</v>
      </c>
      <c r="B265">
        <v>-9</v>
      </c>
      <c r="C265" t="s">
        <v>298</v>
      </c>
      <c r="D265" s="2">
        <v>10980337.07</v>
      </c>
    </row>
    <row r="266" spans="1:4">
      <c r="A266" s="45" t="s">
        <v>300</v>
      </c>
      <c r="B266">
        <v>-7</v>
      </c>
      <c r="C266" t="s">
        <v>562</v>
      </c>
      <c r="D266" s="2">
        <v>10980337.07</v>
      </c>
    </row>
    <row r="267" spans="1:4">
      <c r="A267" s="45" t="s">
        <v>679</v>
      </c>
      <c r="B267">
        <v>-1</v>
      </c>
      <c r="C267" t="s">
        <v>680</v>
      </c>
      <c r="D267" s="2">
        <v>-828363678.90999997</v>
      </c>
    </row>
    <row r="268" spans="1:4">
      <c r="A268" s="45" t="s">
        <v>681</v>
      </c>
      <c r="B268">
        <v>-5</v>
      </c>
      <c r="C268" t="s">
        <v>680</v>
      </c>
      <c r="D268" s="2">
        <v>-828363678.90999997</v>
      </c>
    </row>
    <row r="269" spans="1:4">
      <c r="A269" s="45" t="s">
        <v>682</v>
      </c>
      <c r="B269">
        <v>0</v>
      </c>
      <c r="C269" t="s">
        <v>680</v>
      </c>
      <c r="D269" s="2">
        <v>-828363678.90999997</v>
      </c>
    </row>
    <row r="270" spans="1:4">
      <c r="A270" s="45" t="s">
        <v>683</v>
      </c>
      <c r="B270">
        <v>-5</v>
      </c>
      <c r="C270" t="s">
        <v>684</v>
      </c>
      <c r="D270" s="2">
        <v>-828363678.90999997</v>
      </c>
    </row>
    <row r="271" spans="1:4">
      <c r="A271" s="45">
        <v>7</v>
      </c>
      <c r="B271">
        <v>-5</v>
      </c>
      <c r="C271" t="s">
        <v>215</v>
      </c>
      <c r="D271" s="2">
        <v>1074796645.23</v>
      </c>
    </row>
    <row r="272" spans="1:4">
      <c r="A272" s="45" t="s">
        <v>216</v>
      </c>
      <c r="B272">
        <v>-2</v>
      </c>
      <c r="C272" t="s">
        <v>217</v>
      </c>
      <c r="D272" s="2">
        <v>1074796645.23</v>
      </c>
    </row>
    <row r="273" spans="1:4">
      <c r="A273" s="45" t="s">
        <v>339</v>
      </c>
      <c r="B273">
        <v>-5</v>
      </c>
      <c r="C273" t="s">
        <v>218</v>
      </c>
      <c r="D273" s="2">
        <v>9226931.5999999996</v>
      </c>
    </row>
    <row r="274" spans="1:4">
      <c r="A274" s="45" t="s">
        <v>219</v>
      </c>
      <c r="B274">
        <v>-9</v>
      </c>
      <c r="C274" t="s">
        <v>220</v>
      </c>
      <c r="D274" s="2">
        <v>9226931.5999999996</v>
      </c>
    </row>
    <row r="275" spans="1:4">
      <c r="A275" s="45" t="s">
        <v>221</v>
      </c>
      <c r="B275">
        <v>0</v>
      </c>
      <c r="C275" t="s">
        <v>222</v>
      </c>
      <c r="D275" s="2">
        <v>9226931.5999999996</v>
      </c>
    </row>
    <row r="276" spans="1:4">
      <c r="A276" s="45" t="s">
        <v>223</v>
      </c>
      <c r="B276">
        <v>-9</v>
      </c>
      <c r="C276" t="s">
        <v>563</v>
      </c>
      <c r="D276" s="2">
        <v>9226931.5999999996</v>
      </c>
    </row>
    <row r="277" spans="1:4">
      <c r="A277" s="45" t="s">
        <v>340</v>
      </c>
      <c r="B277">
        <v>-3</v>
      </c>
      <c r="C277" t="s">
        <v>224</v>
      </c>
      <c r="D277" s="2">
        <v>82742176.739999995</v>
      </c>
    </row>
    <row r="278" spans="1:4">
      <c r="A278" s="45" t="s">
        <v>225</v>
      </c>
      <c r="B278">
        <v>-7</v>
      </c>
      <c r="C278" t="s">
        <v>226</v>
      </c>
      <c r="D278" s="2">
        <v>34524345.469999999</v>
      </c>
    </row>
    <row r="279" spans="1:4">
      <c r="A279" s="45" t="s">
        <v>227</v>
      </c>
      <c r="B279">
        <v>-5</v>
      </c>
      <c r="C279" t="s">
        <v>564</v>
      </c>
      <c r="D279" s="2">
        <v>34524345.469999999</v>
      </c>
    </row>
    <row r="280" spans="1:4">
      <c r="A280" s="45" t="s">
        <v>228</v>
      </c>
      <c r="B280">
        <v>-3</v>
      </c>
      <c r="C280" t="s">
        <v>565</v>
      </c>
      <c r="D280" s="2">
        <v>34524345.469999999</v>
      </c>
    </row>
    <row r="281" spans="1:4">
      <c r="A281" s="45" t="s">
        <v>566</v>
      </c>
      <c r="B281">
        <v>0</v>
      </c>
      <c r="C281" t="s">
        <v>567</v>
      </c>
      <c r="D281" s="2">
        <v>24203959.329999998</v>
      </c>
    </row>
    <row r="282" spans="1:4">
      <c r="A282" s="45" t="s">
        <v>568</v>
      </c>
      <c r="B282">
        <v>-9</v>
      </c>
      <c r="C282" t="s">
        <v>569</v>
      </c>
      <c r="D282" s="2">
        <v>24203959.329999998</v>
      </c>
    </row>
    <row r="283" spans="1:4">
      <c r="A283" s="45" t="s">
        <v>570</v>
      </c>
      <c r="B283">
        <v>-7</v>
      </c>
      <c r="C283" t="s">
        <v>571</v>
      </c>
      <c r="D283" s="2">
        <v>21900744.82</v>
      </c>
    </row>
    <row r="284" spans="1:4">
      <c r="A284" s="45" t="s">
        <v>572</v>
      </c>
      <c r="B284">
        <v>-5</v>
      </c>
      <c r="C284" t="s">
        <v>573</v>
      </c>
      <c r="D284" s="2">
        <v>1292261.17</v>
      </c>
    </row>
    <row r="285" spans="1:4">
      <c r="A285" s="45" t="s">
        <v>574</v>
      </c>
      <c r="B285">
        <v>-3</v>
      </c>
      <c r="C285" t="s">
        <v>575</v>
      </c>
      <c r="D285" s="2">
        <v>1010953.34</v>
      </c>
    </row>
    <row r="286" spans="1:4">
      <c r="A286" s="45" t="s">
        <v>576</v>
      </c>
      <c r="B286">
        <v>-8</v>
      </c>
      <c r="C286" t="s">
        <v>577</v>
      </c>
      <c r="D286" s="2">
        <v>24013871.940000001</v>
      </c>
    </row>
    <row r="287" spans="1:4">
      <c r="A287" s="47" t="s">
        <v>578</v>
      </c>
      <c r="B287">
        <v>-3</v>
      </c>
      <c r="C287" t="s">
        <v>579</v>
      </c>
      <c r="D287" s="2">
        <v>24013871.940000001</v>
      </c>
    </row>
    <row r="288" spans="1:4">
      <c r="A288" s="45" t="s">
        <v>580</v>
      </c>
      <c r="B288">
        <v>-8</v>
      </c>
      <c r="C288" t="s">
        <v>581</v>
      </c>
      <c r="D288" s="2">
        <v>24013871.940000001</v>
      </c>
    </row>
    <row r="289" spans="1:4">
      <c r="A289" s="45" t="s">
        <v>332</v>
      </c>
      <c r="B289">
        <v>-8</v>
      </c>
      <c r="C289" t="s">
        <v>229</v>
      </c>
      <c r="D289" s="2">
        <v>912414694.49000001</v>
      </c>
    </row>
    <row r="290" spans="1:4">
      <c r="A290" s="45" t="s">
        <v>230</v>
      </c>
      <c r="B290">
        <v>-5</v>
      </c>
      <c r="C290" t="s">
        <v>231</v>
      </c>
      <c r="D290" s="2">
        <v>912414694.49000001</v>
      </c>
    </row>
    <row r="291" spans="1:4">
      <c r="A291" s="45" t="s">
        <v>232</v>
      </c>
      <c r="B291">
        <v>0</v>
      </c>
      <c r="C291" t="s">
        <v>231</v>
      </c>
      <c r="D291" s="2">
        <v>912414694.49000001</v>
      </c>
    </row>
    <row r="292" spans="1:4">
      <c r="A292" s="45" t="s">
        <v>233</v>
      </c>
      <c r="B292">
        <v>-5</v>
      </c>
      <c r="C292" t="s">
        <v>314</v>
      </c>
      <c r="D292" s="2">
        <v>879111632.69000006</v>
      </c>
    </row>
    <row r="293" spans="1:4">
      <c r="A293" s="45" t="s">
        <v>234</v>
      </c>
      <c r="B293">
        <v>-2</v>
      </c>
      <c r="C293" t="s">
        <v>235</v>
      </c>
      <c r="D293" s="2">
        <v>33303061.800000001</v>
      </c>
    </row>
    <row r="294" spans="1:4">
      <c r="A294" s="45" t="s">
        <v>335</v>
      </c>
      <c r="B294">
        <v>-6</v>
      </c>
      <c r="C294" t="s">
        <v>236</v>
      </c>
      <c r="D294" s="2">
        <v>70412842.400000006</v>
      </c>
    </row>
    <row r="295" spans="1:4">
      <c r="A295" s="45" t="s">
        <v>237</v>
      </c>
      <c r="B295">
        <v>0</v>
      </c>
      <c r="C295" t="s">
        <v>238</v>
      </c>
      <c r="D295" s="2">
        <v>70412842.400000006</v>
      </c>
    </row>
    <row r="296" spans="1:4">
      <c r="A296" s="46" t="s">
        <v>239</v>
      </c>
      <c r="B296">
        <v>0</v>
      </c>
      <c r="C296" t="s">
        <v>582</v>
      </c>
      <c r="D296">
        <v>11.86</v>
      </c>
    </row>
    <row r="297" spans="1:4">
      <c r="A297" s="36" t="s">
        <v>240</v>
      </c>
      <c r="B297" s="36">
        <v>-5</v>
      </c>
      <c r="C297" t="s">
        <v>583</v>
      </c>
      <c r="D297" s="2">
        <v>11.86</v>
      </c>
    </row>
    <row r="298" spans="1:4">
      <c r="A298" s="36" t="s">
        <v>336</v>
      </c>
      <c r="B298">
        <v>-9</v>
      </c>
      <c r="C298" t="s">
        <v>584</v>
      </c>
      <c r="D298" s="2">
        <v>70412757.760000005</v>
      </c>
    </row>
    <row r="299" spans="1:4">
      <c r="A299" s="36" t="s">
        <v>333</v>
      </c>
      <c r="B299">
        <v>-1</v>
      </c>
      <c r="C299" t="s">
        <v>585</v>
      </c>
      <c r="D299" s="2">
        <v>70412757.760000005</v>
      </c>
    </row>
    <row r="300" spans="1:4">
      <c r="A300" s="36" t="s">
        <v>241</v>
      </c>
      <c r="B300">
        <v>-9</v>
      </c>
      <c r="C300" t="s">
        <v>586</v>
      </c>
      <c r="D300" s="2">
        <v>72.78</v>
      </c>
    </row>
    <row r="301" spans="1:4">
      <c r="A301" s="36"/>
    </row>
    <row r="302" spans="1:4">
      <c r="A302" s="36"/>
    </row>
    <row r="303" spans="1:4">
      <c r="A303" s="36" t="s">
        <v>616</v>
      </c>
      <c r="B303" t="s">
        <v>617</v>
      </c>
      <c r="C303" t="s">
        <v>716</v>
      </c>
      <c r="D303" t="s">
        <v>717</v>
      </c>
    </row>
    <row r="304" spans="1:4">
      <c r="A304" s="36" t="s">
        <v>655</v>
      </c>
      <c r="B304" t="s">
        <v>656</v>
      </c>
      <c r="C304" t="s">
        <v>657</v>
      </c>
    </row>
    <row r="305" spans="1:4">
      <c r="A305" s="36" t="s">
        <v>658</v>
      </c>
      <c r="C305" t="s">
        <v>718</v>
      </c>
      <c r="D305" t="s">
        <v>719</v>
      </c>
    </row>
    <row r="306" spans="1:4">
      <c r="A306" s="36" t="s">
        <v>720</v>
      </c>
      <c r="B306" t="s">
        <v>659</v>
      </c>
      <c r="C306" t="s">
        <v>721</v>
      </c>
      <c r="D306" t="s">
        <v>731</v>
      </c>
    </row>
    <row r="307" spans="1:4">
      <c r="A307" s="49">
        <v>0.65390046296296289</v>
      </c>
      <c r="C307" t="s">
        <v>712</v>
      </c>
      <c r="D307" t="s">
        <v>713</v>
      </c>
    </row>
    <row r="308" spans="1:4">
      <c r="A308" s="36" t="s">
        <v>651</v>
      </c>
      <c r="B308" t="s">
        <v>652</v>
      </c>
      <c r="C308" t="s">
        <v>727</v>
      </c>
      <c r="D308" t="s">
        <v>728</v>
      </c>
    </row>
    <row r="309" spans="1:4">
      <c r="A309" s="36" t="s">
        <v>616</v>
      </c>
      <c r="B309" t="s">
        <v>617</v>
      </c>
      <c r="C309" t="s">
        <v>716</v>
      </c>
      <c r="D309" t="s">
        <v>717</v>
      </c>
    </row>
    <row r="310" spans="1:4">
      <c r="A310" s="36" t="s">
        <v>618</v>
      </c>
      <c r="B310" t="s">
        <v>619</v>
      </c>
      <c r="C310" t="s">
        <v>620</v>
      </c>
    </row>
    <row r="311" spans="1:4">
      <c r="A311" s="36" t="s">
        <v>616</v>
      </c>
      <c r="B311" t="s">
        <v>617</v>
      </c>
      <c r="C311" t="s">
        <v>716</v>
      </c>
      <c r="D311" t="s">
        <v>717</v>
      </c>
    </row>
    <row r="312" spans="1:4">
      <c r="A312" s="36"/>
    </row>
    <row r="313" spans="1:4">
      <c r="A313" s="36" t="s">
        <v>587</v>
      </c>
      <c r="B313">
        <v>-1</v>
      </c>
      <c r="C313" t="s">
        <v>588</v>
      </c>
      <c r="D313" s="2">
        <v>72.78</v>
      </c>
    </row>
    <row r="314" spans="1:4">
      <c r="A314" s="36">
        <v>9</v>
      </c>
      <c r="B314">
        <v>-8</v>
      </c>
      <c r="C314" t="s">
        <v>625</v>
      </c>
      <c r="D314" s="2">
        <v>74647059.890000001</v>
      </c>
    </row>
    <row r="315" spans="1:4">
      <c r="A315" s="36" t="s">
        <v>639</v>
      </c>
      <c r="B315">
        <v>-8</v>
      </c>
      <c r="C315" t="s">
        <v>625</v>
      </c>
      <c r="D315" s="2">
        <v>74647059.890000001</v>
      </c>
    </row>
    <row r="316" spans="1:4">
      <c r="A316" s="36" t="s">
        <v>640</v>
      </c>
      <c r="B316">
        <v>-1</v>
      </c>
      <c r="C316" t="s">
        <v>628</v>
      </c>
      <c r="D316" s="2">
        <v>74647059.890000001</v>
      </c>
    </row>
    <row r="317" spans="1:4">
      <c r="A317" s="36" t="s">
        <v>641</v>
      </c>
      <c r="B317">
        <v>-5</v>
      </c>
      <c r="C317" t="s">
        <v>642</v>
      </c>
      <c r="D317" s="2">
        <v>74647059.890000001</v>
      </c>
    </row>
    <row r="318" spans="1:4">
      <c r="A318" s="36" t="s">
        <v>643</v>
      </c>
      <c r="B318">
        <v>-1</v>
      </c>
      <c r="C318" t="s">
        <v>644</v>
      </c>
      <c r="D318" s="2">
        <v>74647059.890000001</v>
      </c>
    </row>
    <row r="319" spans="1:4">
      <c r="A319" s="36" t="s">
        <v>645</v>
      </c>
      <c r="B319">
        <v>-6</v>
      </c>
      <c r="C319" t="s">
        <v>646</v>
      </c>
      <c r="D319" s="2">
        <v>35006416.810000002</v>
      </c>
    </row>
    <row r="320" spans="1:4">
      <c r="A320" s="45" t="s">
        <v>647</v>
      </c>
      <c r="B320">
        <v>-4</v>
      </c>
      <c r="C320" t="s">
        <v>648</v>
      </c>
      <c r="D320" s="2">
        <v>39640643.079999998</v>
      </c>
    </row>
    <row r="321" spans="1:4">
      <c r="A321" s="46"/>
    </row>
    <row r="322" spans="1:4">
      <c r="A322" s="46"/>
      <c r="C322" t="s">
        <v>244</v>
      </c>
      <c r="D322" t="s">
        <v>732</v>
      </c>
    </row>
    <row r="323" spans="1:4">
      <c r="A323" s="45"/>
    </row>
    <row r="363" spans="1:4">
      <c r="A363" t="s">
        <v>616</v>
      </c>
      <c r="B363" t="s">
        <v>617</v>
      </c>
      <c r="C363" t="s">
        <v>716</v>
      </c>
      <c r="D363" t="s">
        <v>717</v>
      </c>
    </row>
    <row r="364" spans="1:4">
      <c r="A364" t="s">
        <v>655</v>
      </c>
      <c r="B364" t="s">
        <v>656</v>
      </c>
      <c r="C364" t="s">
        <v>657</v>
      </c>
    </row>
    <row r="365" spans="1:4">
      <c r="A365" t="s">
        <v>658</v>
      </c>
      <c r="C365" t="s">
        <v>718</v>
      </c>
      <c r="D365" t="s">
        <v>719</v>
      </c>
    </row>
    <row r="366" spans="1:4">
      <c r="A366" t="s">
        <v>720</v>
      </c>
      <c r="B366" t="s">
        <v>659</v>
      </c>
      <c r="C366" t="s">
        <v>721</v>
      </c>
      <c r="D366" t="s">
        <v>733</v>
      </c>
    </row>
    <row r="367" spans="1:4">
      <c r="A367" s="50">
        <v>0.65390046296296289</v>
      </c>
      <c r="C367" t="s">
        <v>712</v>
      </c>
      <c r="D367" t="s">
        <v>713</v>
      </c>
    </row>
    <row r="368" spans="1:4">
      <c r="A368" t="s">
        <v>651</v>
      </c>
      <c r="B368" t="s">
        <v>652</v>
      </c>
      <c r="C368" t="s">
        <v>727</v>
      </c>
      <c r="D368" t="s">
        <v>728</v>
      </c>
    </row>
    <row r="369" spans="1:4">
      <c r="A369" t="s">
        <v>616</v>
      </c>
      <c r="B369" t="s">
        <v>617</v>
      </c>
      <c r="C369" t="s">
        <v>716</v>
      </c>
      <c r="D369" t="s">
        <v>717</v>
      </c>
    </row>
    <row r="370" spans="1:4">
      <c r="C370" t="s">
        <v>734</v>
      </c>
      <c r="D370" t="s">
        <v>735</v>
      </c>
    </row>
    <row r="371" spans="1:4">
      <c r="A371" t="s">
        <v>616</v>
      </c>
      <c r="B371" t="s">
        <v>617</v>
      </c>
      <c r="C371" t="s">
        <v>716</v>
      </c>
      <c r="D371" t="s">
        <v>717</v>
      </c>
    </row>
    <row r="379" spans="1:4">
      <c r="A379" t="s">
        <v>696</v>
      </c>
      <c r="B379" t="s">
        <v>672</v>
      </c>
      <c r="C379" t="s">
        <v>697</v>
      </c>
      <c r="D379" t="s">
        <v>698</v>
      </c>
    </row>
    <row r="380" spans="1:4">
      <c r="A380" t="s">
        <v>660</v>
      </c>
      <c r="C380" t="s">
        <v>736</v>
      </c>
      <c r="D380" t="s">
        <v>737</v>
      </c>
    </row>
    <row r="381" spans="1:4">
      <c r="C381" t="s">
        <v>699</v>
      </c>
    </row>
    <row r="389" spans="1:4">
      <c r="A389" t="s">
        <v>662</v>
      </c>
      <c r="B389" t="s">
        <v>663</v>
      </c>
      <c r="C389" t="s">
        <v>664</v>
      </c>
      <c r="D389" t="s">
        <v>665</v>
      </c>
    </row>
    <row r="390" spans="1:4">
      <c r="A390" t="s">
        <v>666</v>
      </c>
      <c r="B390" t="s">
        <v>667</v>
      </c>
      <c r="C390" t="e">
        <f>- RESPONSAVEL PELOS           VICE-PRESIDENTE</f>
        <v>#NAME?</v>
      </c>
      <c r="D390" t="s">
        <v>661</v>
      </c>
    </row>
    <row r="391" spans="1:4">
      <c r="A391" t="s">
        <v>668</v>
      </c>
      <c r="B391" t="s">
        <v>669</v>
      </c>
      <c r="C391" t="s">
        <v>670</v>
      </c>
    </row>
    <row r="399" spans="1:4">
      <c r="A399" t="s">
        <v>671</v>
      </c>
      <c r="B399" t="s">
        <v>672</v>
      </c>
      <c r="C399" t="s">
        <v>673</v>
      </c>
      <c r="D399" t="s">
        <v>700</v>
      </c>
    </row>
    <row r="400" spans="1:4">
      <c r="A400" t="s">
        <v>666</v>
      </c>
      <c r="B400" t="s">
        <v>667</v>
      </c>
      <c r="C400" t="s">
        <v>661</v>
      </c>
      <c r="D400" t="s">
        <v>701</v>
      </c>
    </row>
    <row r="401" spans="1:4">
      <c r="D401" t="s">
        <v>702</v>
      </c>
    </row>
    <row r="409" spans="1:4">
      <c r="A409" t="s">
        <v>703</v>
      </c>
      <c r="B409" t="s">
        <v>704</v>
      </c>
      <c r="C409" t="s">
        <v>705</v>
      </c>
      <c r="D409" t="s">
        <v>706</v>
      </c>
    </row>
    <row r="410" spans="1:4">
      <c r="A410" t="s">
        <v>666</v>
      </c>
      <c r="B410" t="s">
        <v>667</v>
      </c>
      <c r="C410" t="s">
        <v>661</v>
      </c>
      <c r="D410" t="s">
        <v>707</v>
      </c>
    </row>
    <row r="411" spans="1:4">
      <c r="D411" t="s">
        <v>708</v>
      </c>
    </row>
    <row r="419" spans="1:4">
      <c r="A419" t="s">
        <v>616</v>
      </c>
      <c r="B419" t="s">
        <v>617</v>
      </c>
      <c r="C419" t="s">
        <v>716</v>
      </c>
      <c r="D419" t="s">
        <v>717</v>
      </c>
    </row>
    <row r="420" spans="1:4">
      <c r="A420" t="s">
        <v>655</v>
      </c>
      <c r="B420" t="s">
        <v>656</v>
      </c>
      <c r="C420" t="s">
        <v>657</v>
      </c>
    </row>
    <row r="421" spans="1:4">
      <c r="A421" t="s">
        <v>658</v>
      </c>
      <c r="C421" t="s">
        <v>718</v>
      </c>
      <c r="D421" t="s">
        <v>738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/>
  <cols>
    <col min="1" max="1" width="15.140625" style="93" bestFit="1" customWidth="1"/>
    <col min="2" max="2" width="3.42578125" style="93" customWidth="1"/>
    <col min="3" max="3" width="58.7109375" style="93" bestFit="1" customWidth="1"/>
    <col min="4" max="4" width="22.85546875" style="93" customWidth="1"/>
    <col min="5" max="5" width="17.7109375" style="95" hidden="1" customWidth="1"/>
    <col min="6" max="7" width="17.7109375" style="95" customWidth="1"/>
    <col min="8" max="8" width="2.42578125" style="93" customWidth="1"/>
    <col min="9" max="9" width="16.5703125" style="95" hidden="1" customWidth="1"/>
    <col min="10" max="10" width="1.140625" style="96" customWidth="1"/>
    <col min="11" max="11" width="16.140625" style="93" bestFit="1" customWidth="1"/>
    <col min="12" max="12" width="56.140625" style="93" bestFit="1" customWidth="1"/>
    <col min="13" max="13" width="19.5703125" style="93" customWidth="1"/>
    <col min="14" max="14" width="15" style="93" bestFit="1" customWidth="1"/>
    <col min="15" max="15" width="14.28515625" style="93" bestFit="1" customWidth="1"/>
    <col min="16" max="16384" width="9.140625" style="93"/>
  </cols>
  <sheetData>
    <row r="1" spans="1:13">
      <c r="A1" s="92" t="s">
        <v>960</v>
      </c>
      <c r="B1" s="93" t="s">
        <v>674</v>
      </c>
      <c r="C1" s="93" t="s">
        <v>961</v>
      </c>
      <c r="D1" s="93" t="s">
        <v>711</v>
      </c>
    </row>
    <row r="2" spans="1:13">
      <c r="A2" s="97">
        <v>0.70958333333333334</v>
      </c>
      <c r="C2" s="93" t="s">
        <v>962</v>
      </c>
      <c r="D2" s="93" t="s">
        <v>963</v>
      </c>
    </row>
    <row r="3" spans="1:13">
      <c r="A3" s="92" t="s">
        <v>651</v>
      </c>
      <c r="B3" s="93" t="s">
        <v>652</v>
      </c>
      <c r="C3" s="93" t="s">
        <v>964</v>
      </c>
      <c r="D3" s="93" t="s">
        <v>965</v>
      </c>
    </row>
    <row r="4" spans="1:13">
      <c r="A4" s="92" t="s">
        <v>616</v>
      </c>
      <c r="B4" s="93" t="s">
        <v>617</v>
      </c>
      <c r="C4" s="93" t="s">
        <v>966</v>
      </c>
      <c r="D4" s="93" t="s">
        <v>967</v>
      </c>
    </row>
    <row r="5" spans="1:13">
      <c r="A5" s="92" t="s">
        <v>618</v>
      </c>
      <c r="B5" s="93" t="s">
        <v>619</v>
      </c>
      <c r="C5" s="93" t="s">
        <v>620</v>
      </c>
    </row>
    <row r="6" spans="1:13">
      <c r="A6" s="92" t="s">
        <v>616</v>
      </c>
      <c r="B6" s="93" t="s">
        <v>617</v>
      </c>
      <c r="C6" s="93" t="s">
        <v>966</v>
      </c>
      <c r="D6" s="98">
        <v>2015</v>
      </c>
      <c r="E6" s="102" t="s">
        <v>368</v>
      </c>
      <c r="F6" s="102"/>
      <c r="G6" s="102"/>
      <c r="H6" s="98"/>
      <c r="I6" s="102" t="s">
        <v>1010</v>
      </c>
      <c r="J6" s="96" t="s">
        <v>980</v>
      </c>
    </row>
    <row r="7" spans="1:13">
      <c r="A7" s="92">
        <v>1</v>
      </c>
      <c r="B7" s="93">
        <v>-7</v>
      </c>
      <c r="C7" s="93" t="s">
        <v>345</v>
      </c>
      <c r="D7" s="94">
        <v>1500896499.3099999</v>
      </c>
      <c r="E7" s="95">
        <f>VLOOKUP(A7,'Balancete 2014'!A:D,4,0)</f>
        <v>1641432710.99</v>
      </c>
      <c r="I7" s="95">
        <v>1154384180.3499999</v>
      </c>
    </row>
    <row r="8" spans="1:13">
      <c r="A8" s="92" t="s">
        <v>315</v>
      </c>
      <c r="B8" s="93">
        <v>-4</v>
      </c>
      <c r="C8" s="93" t="s">
        <v>346</v>
      </c>
      <c r="D8" s="94">
        <v>578.22</v>
      </c>
      <c r="E8" s="95">
        <f>VLOOKUP(A8,'Balancete 2014'!A:D,4,0)</f>
        <v>276.11</v>
      </c>
      <c r="I8" s="95">
        <v>2130.14</v>
      </c>
      <c r="K8" s="106"/>
      <c r="L8" s="106" t="s">
        <v>981</v>
      </c>
    </row>
    <row r="9" spans="1:13">
      <c r="A9" s="92" t="s">
        <v>347</v>
      </c>
      <c r="B9" s="93">
        <v>-2</v>
      </c>
      <c r="C9" s="93" t="s">
        <v>348</v>
      </c>
      <c r="D9" s="94">
        <v>526.24</v>
      </c>
      <c r="E9" s="95">
        <f>VLOOKUP(A9,'Balancete 2014'!A:D,4,0)</f>
        <v>224.13</v>
      </c>
      <c r="I9" s="95">
        <v>289.8</v>
      </c>
      <c r="K9" s="103">
        <v>7</v>
      </c>
      <c r="L9" s="104">
        <f>+D270</f>
        <v>148844775.94999999</v>
      </c>
    </row>
    <row r="10" spans="1:13">
      <c r="A10" s="92" t="s">
        <v>349</v>
      </c>
      <c r="B10" s="93">
        <v>0</v>
      </c>
      <c r="C10" s="93" t="s">
        <v>348</v>
      </c>
      <c r="D10" s="94">
        <v>526.24</v>
      </c>
      <c r="E10" s="95">
        <f>VLOOKUP(A10,'Balancete 2014'!A:D,4,0)</f>
        <v>224.13</v>
      </c>
      <c r="I10" s="95">
        <v>289.8</v>
      </c>
      <c r="K10" s="103">
        <v>8</v>
      </c>
      <c r="L10" s="104">
        <f>-D98</f>
        <v>-70986812.579999998</v>
      </c>
    </row>
    <row r="11" spans="1:13">
      <c r="A11" s="92" t="s">
        <v>351</v>
      </c>
      <c r="B11" s="93">
        <v>-5</v>
      </c>
      <c r="C11" s="93" t="s">
        <v>348</v>
      </c>
      <c r="D11" s="94">
        <v>526.24</v>
      </c>
      <c r="E11" s="95">
        <f>VLOOKUP(A11,'Balancete 2014'!A:D,4,0)</f>
        <v>224.13</v>
      </c>
      <c r="I11" s="95">
        <v>289.8</v>
      </c>
      <c r="K11" s="103" t="s">
        <v>982</v>
      </c>
      <c r="L11" s="104">
        <f>+L9+L10-8556915.62</f>
        <v>69301047.749999985</v>
      </c>
      <c r="M11" s="100">
        <f>+L9+L10</f>
        <v>77857963.36999999</v>
      </c>
    </row>
    <row r="12" spans="1:13">
      <c r="A12" s="92" t="s">
        <v>352</v>
      </c>
      <c r="B12" s="93">
        <v>-3</v>
      </c>
      <c r="C12" s="93" t="s">
        <v>348</v>
      </c>
      <c r="D12" s="94">
        <v>526.24</v>
      </c>
      <c r="E12" s="95">
        <f>VLOOKUP(A12,'Balancete 2014'!A:D,4,0)</f>
        <v>224.13</v>
      </c>
      <c r="I12" s="95">
        <v>289.8</v>
      </c>
      <c r="K12" s="105">
        <v>0.05</v>
      </c>
      <c r="L12" s="104">
        <f>+L11*K12</f>
        <v>3465052.3874999993</v>
      </c>
    </row>
    <row r="13" spans="1:13">
      <c r="A13" s="92" t="s">
        <v>353</v>
      </c>
      <c r="B13" s="93">
        <v>0</v>
      </c>
      <c r="C13" s="93" t="s">
        <v>354</v>
      </c>
      <c r="D13" s="94">
        <v>51.98</v>
      </c>
      <c r="E13" s="95">
        <f>VLOOKUP(A13,'Balancete 2014'!A:D,4,0)</f>
        <v>51.98</v>
      </c>
      <c r="I13" s="95">
        <v>1840.34</v>
      </c>
      <c r="K13" s="103" t="s">
        <v>983</v>
      </c>
      <c r="L13" s="104">
        <f>+L11-L12</f>
        <v>65835995.362499982</v>
      </c>
    </row>
    <row r="14" spans="1:13">
      <c r="A14" s="92" t="s">
        <v>355</v>
      </c>
      <c r="B14" s="93">
        <v>-2</v>
      </c>
      <c r="C14" s="93" t="s">
        <v>354</v>
      </c>
      <c r="D14" s="94">
        <v>51.98</v>
      </c>
      <c r="E14" s="95">
        <f>VLOOKUP(A14,'Balancete 2014'!A:D,4,0)</f>
        <v>51.98</v>
      </c>
      <c r="I14" s="95">
        <v>1840.34</v>
      </c>
      <c r="K14" s="107">
        <v>0.25</v>
      </c>
      <c r="L14" s="108">
        <f>+L13*K14</f>
        <v>16458998.840624996</v>
      </c>
    </row>
    <row r="15" spans="1:13">
      <c r="A15" s="92" t="s">
        <v>356</v>
      </c>
      <c r="B15" s="93">
        <v>-8</v>
      </c>
      <c r="C15" s="93" t="s">
        <v>354</v>
      </c>
      <c r="D15" s="94">
        <v>51.98</v>
      </c>
      <c r="E15" s="95">
        <f>VLOOKUP(A15,'Balancete 2014'!A:D,4,0)</f>
        <v>51.98</v>
      </c>
      <c r="I15" s="95">
        <v>1840.34</v>
      </c>
      <c r="K15" s="93" t="s">
        <v>984</v>
      </c>
      <c r="L15" s="95">
        <f>+L13-L14</f>
        <v>49376996.521874987</v>
      </c>
    </row>
    <row r="16" spans="1:13">
      <c r="A16" s="92" t="s">
        <v>357</v>
      </c>
      <c r="B16" s="93">
        <v>-6</v>
      </c>
      <c r="C16" s="93" t="s">
        <v>354</v>
      </c>
      <c r="D16" s="94">
        <v>51.98</v>
      </c>
      <c r="E16" s="95">
        <f>VLOOKUP(A16,'Balancete 2014'!A:D,4,0)</f>
        <v>51.98</v>
      </c>
      <c r="I16" s="95">
        <v>1840.34</v>
      </c>
      <c r="L16" s="95"/>
    </row>
    <row r="17" spans="1:12">
      <c r="A17" s="92" t="s">
        <v>316</v>
      </c>
      <c r="B17" s="93">
        <v>-1</v>
      </c>
      <c r="C17" s="93" t="s">
        <v>358</v>
      </c>
      <c r="D17" s="94">
        <v>103286039.34999999</v>
      </c>
      <c r="E17" s="95">
        <f>VLOOKUP(A17,'Balancete 2014'!A:D,4,0)</f>
        <v>93987063.079999998</v>
      </c>
      <c r="I17" s="95">
        <v>84760131.480000004</v>
      </c>
      <c r="L17" s="95">
        <v>-8556915.6199999992</v>
      </c>
    </row>
    <row r="18" spans="1:12">
      <c r="A18" s="92" t="s">
        <v>359</v>
      </c>
      <c r="B18" s="93">
        <v>0</v>
      </c>
      <c r="C18" s="93" t="s">
        <v>360</v>
      </c>
      <c r="D18" s="94">
        <v>103286039.34999999</v>
      </c>
      <c r="E18" s="95">
        <f>VLOOKUP(A18,'Balancete 2014'!A:D,4,0)</f>
        <v>93987063.079999998</v>
      </c>
      <c r="I18" s="95">
        <v>84760131.480000004</v>
      </c>
      <c r="J18" s="99">
        <f>+D18-E18</f>
        <v>9298976.2699999958</v>
      </c>
    </row>
    <row r="19" spans="1:12">
      <c r="A19" s="92" t="s">
        <v>361</v>
      </c>
      <c r="B19" s="93">
        <v>-3</v>
      </c>
      <c r="C19" s="93" t="s">
        <v>362</v>
      </c>
      <c r="D19" s="94">
        <v>103286039.34999999</v>
      </c>
      <c r="E19" s="95">
        <f>VLOOKUP(A19,'Balancete 2014'!A:D,4,0)</f>
        <v>93987063.079999998</v>
      </c>
      <c r="I19" s="95">
        <v>84760131.480000004</v>
      </c>
      <c r="J19" s="99">
        <f t="shared" ref="J19:J82" si="0">+D19-E19</f>
        <v>9298976.2699999958</v>
      </c>
    </row>
    <row r="20" spans="1:12">
      <c r="A20" s="92" t="s">
        <v>371</v>
      </c>
      <c r="B20" s="93">
        <v>-8</v>
      </c>
      <c r="C20" s="93" t="s">
        <v>372</v>
      </c>
      <c r="D20" s="94">
        <v>103286039.34999999</v>
      </c>
      <c r="E20" s="95">
        <f>VLOOKUP(A20,'Balancete 2014'!A:D,4,0)</f>
        <v>93987063.079999998</v>
      </c>
      <c r="I20" s="95" t="e">
        <v>#N/A</v>
      </c>
      <c r="J20" s="99">
        <f t="shared" si="0"/>
        <v>9298976.2699999958</v>
      </c>
    </row>
    <row r="21" spans="1:12">
      <c r="A21" s="92" t="s">
        <v>373</v>
      </c>
      <c r="B21" s="93">
        <v>-9</v>
      </c>
      <c r="C21" s="93" t="s">
        <v>878</v>
      </c>
      <c r="D21" s="94">
        <v>103286039.34999999</v>
      </c>
      <c r="E21" s="95">
        <f>VLOOKUP(A21,'Balancete 2014'!A:D,4,0)</f>
        <v>93987063.079999998</v>
      </c>
      <c r="I21" s="95" t="e">
        <v>#N/A</v>
      </c>
      <c r="J21" s="99">
        <f t="shared" si="0"/>
        <v>9298976.2699999958</v>
      </c>
    </row>
    <row r="22" spans="1:12">
      <c r="A22" s="92" t="s">
        <v>364</v>
      </c>
      <c r="B22" s="93">
        <v>-9</v>
      </c>
      <c r="C22" s="93" t="s">
        <v>365</v>
      </c>
      <c r="D22" s="94">
        <v>1362231400.8299999</v>
      </c>
      <c r="E22" s="95">
        <f>VLOOKUP(A22,'Balancete 2014'!A:D,4,0)</f>
        <v>1354076882.9100001</v>
      </c>
      <c r="I22" s="95">
        <v>907203117.01999998</v>
      </c>
      <c r="J22" s="99">
        <f t="shared" si="0"/>
        <v>8154517.9199998379</v>
      </c>
    </row>
    <row r="23" spans="1:12">
      <c r="A23" s="92" t="s">
        <v>366</v>
      </c>
      <c r="B23" s="93">
        <v>-7</v>
      </c>
      <c r="C23" s="93" t="s">
        <v>367</v>
      </c>
      <c r="D23" s="94">
        <v>1362231400.8299999</v>
      </c>
      <c r="E23" s="95">
        <f>VLOOKUP(A23,'Balancete 2014'!A:D,4,0)</f>
        <v>1354076882.9100001</v>
      </c>
      <c r="I23" s="95">
        <v>907203117.01999998</v>
      </c>
      <c r="J23" s="99">
        <f t="shared" si="0"/>
        <v>8154517.9199998379</v>
      </c>
    </row>
    <row r="24" spans="1:12">
      <c r="A24" s="92" t="s">
        <v>318</v>
      </c>
      <c r="B24" s="93">
        <v>0</v>
      </c>
      <c r="C24" s="93" t="s">
        <v>0</v>
      </c>
      <c r="D24" s="94">
        <v>612939699.64999998</v>
      </c>
      <c r="E24" s="95">
        <f>VLOOKUP(A24,'Balancete 2014'!A:D,4,0)</f>
        <v>293016857.47000003</v>
      </c>
      <c r="I24" s="95">
        <v>285433790.88</v>
      </c>
      <c r="J24" s="99">
        <f t="shared" si="0"/>
        <v>319922842.17999995</v>
      </c>
    </row>
    <row r="25" spans="1:12">
      <c r="A25" s="92" t="s">
        <v>1</v>
      </c>
      <c r="B25" s="93">
        <v>-7</v>
      </c>
      <c r="C25" s="93" t="s">
        <v>2</v>
      </c>
      <c r="D25" s="94">
        <v>612939699.64999998</v>
      </c>
      <c r="E25" s="95">
        <f>VLOOKUP(A25,'Balancete 2014'!A:D,4,0)</f>
        <v>293016857.47000003</v>
      </c>
      <c r="I25" s="95">
        <v>285433790.88</v>
      </c>
      <c r="J25" s="99">
        <f t="shared" si="0"/>
        <v>319922842.17999995</v>
      </c>
    </row>
    <row r="26" spans="1:12">
      <c r="A26" s="92" t="s">
        <v>3</v>
      </c>
      <c r="B26" s="93">
        <v>-5</v>
      </c>
      <c r="C26" s="93" t="s">
        <v>795</v>
      </c>
      <c r="D26" s="94">
        <v>612939699.64999998</v>
      </c>
      <c r="E26" s="95">
        <f>VLOOKUP(A26,'Balancete 2014'!A:D,4,0)</f>
        <v>293016857.47000003</v>
      </c>
      <c r="I26" s="95">
        <v>285433790.88</v>
      </c>
      <c r="J26" s="99">
        <f t="shared" si="0"/>
        <v>319922842.17999995</v>
      </c>
    </row>
    <row r="27" spans="1:12">
      <c r="A27" s="92" t="s">
        <v>376</v>
      </c>
      <c r="B27" s="93">
        <v>-3</v>
      </c>
      <c r="C27" s="93" t="s">
        <v>377</v>
      </c>
      <c r="D27" s="94">
        <v>26092686.260000002</v>
      </c>
      <c r="E27" s="95">
        <f>VLOOKUP(A27,'Balancete 2014'!A:D,4,0)</f>
        <v>313424219.36000001</v>
      </c>
      <c r="I27" s="95" t="e">
        <v>#N/A</v>
      </c>
      <c r="J27" s="99">
        <f t="shared" si="0"/>
        <v>-287331533.10000002</v>
      </c>
    </row>
    <row r="28" spans="1:12">
      <c r="A28" s="92" t="s">
        <v>378</v>
      </c>
      <c r="B28" s="93">
        <v>-6</v>
      </c>
      <c r="C28" s="93" t="s">
        <v>379</v>
      </c>
      <c r="D28" s="94">
        <v>26092686.260000002</v>
      </c>
      <c r="E28" s="95">
        <f>VLOOKUP(A28,'Balancete 2014'!A:D,4,0)</f>
        <v>313424219.36000001</v>
      </c>
      <c r="I28" s="95" t="e">
        <v>#N/A</v>
      </c>
      <c r="J28" s="99">
        <f t="shared" si="0"/>
        <v>-287331533.10000002</v>
      </c>
    </row>
    <row r="29" spans="1:12">
      <c r="A29" s="92" t="s">
        <v>380</v>
      </c>
      <c r="B29" s="93">
        <v>-4</v>
      </c>
      <c r="C29" s="93" t="s">
        <v>879</v>
      </c>
      <c r="D29" s="94">
        <v>26092686.260000002</v>
      </c>
      <c r="E29" s="95">
        <f>VLOOKUP(A29,'Balancete 2014'!A:D,4,0)</f>
        <v>313424219.36000001</v>
      </c>
      <c r="I29" s="95" t="e">
        <v>#N/A</v>
      </c>
      <c r="J29" s="99">
        <f t="shared" si="0"/>
        <v>-287331533.10000002</v>
      </c>
    </row>
    <row r="30" spans="1:12">
      <c r="A30" s="92" t="s">
        <v>317</v>
      </c>
      <c r="B30" s="93">
        <v>-4</v>
      </c>
      <c r="C30" s="93" t="s">
        <v>4</v>
      </c>
      <c r="D30" s="94">
        <v>723199014.91999996</v>
      </c>
      <c r="E30" s="95">
        <f>VLOOKUP(A30,'Balancete 2014'!A:D,4,0)</f>
        <v>747635806.08000004</v>
      </c>
      <c r="I30" s="95">
        <v>621769326.13999999</v>
      </c>
      <c r="J30" s="99">
        <f t="shared" si="0"/>
        <v>-24436791.160000086</v>
      </c>
    </row>
    <row r="31" spans="1:12">
      <c r="A31" s="92" t="s">
        <v>5</v>
      </c>
      <c r="B31" s="93">
        <v>0</v>
      </c>
      <c r="C31" s="93" t="s">
        <v>6</v>
      </c>
      <c r="D31" s="94">
        <v>723199014.91999996</v>
      </c>
      <c r="E31" s="95">
        <f>VLOOKUP(A31,'Balancete 2014'!A:D,4,0)</f>
        <v>747635806.08000004</v>
      </c>
      <c r="I31" s="95">
        <v>588940372.79999995</v>
      </c>
      <c r="J31" s="99">
        <f t="shared" si="0"/>
        <v>-24436791.160000086</v>
      </c>
    </row>
    <row r="32" spans="1:12">
      <c r="A32" s="92" t="s">
        <v>7</v>
      </c>
      <c r="B32" s="93">
        <v>-7</v>
      </c>
      <c r="C32" s="93" t="s">
        <v>880</v>
      </c>
      <c r="D32" s="94">
        <v>723199014.91999996</v>
      </c>
      <c r="E32" s="95">
        <f>VLOOKUP(A32,'Balancete 2014'!A:D,4,0)</f>
        <v>747635806.08000004</v>
      </c>
      <c r="I32" s="95">
        <v>588940372.79999995</v>
      </c>
      <c r="J32" s="99">
        <f t="shared" si="0"/>
        <v>-24436791.160000086</v>
      </c>
    </row>
    <row r="33" spans="1:12">
      <c r="A33" s="92" t="s">
        <v>12</v>
      </c>
      <c r="B33" s="93">
        <v>-5</v>
      </c>
      <c r="C33" s="93" t="s">
        <v>13</v>
      </c>
      <c r="D33" s="94">
        <v>35378480.909999996</v>
      </c>
      <c r="E33" s="95">
        <f>VLOOKUP(A33,'Balancete 2014'!A:D,4,0)</f>
        <v>193368488.88999999</v>
      </c>
      <c r="H33" s="100">
        <f>D33-E33</f>
        <v>-157990007.97999999</v>
      </c>
      <c r="I33" s="95">
        <v>162418801.71000001</v>
      </c>
      <c r="J33" s="99">
        <f t="shared" si="0"/>
        <v>-157990007.97999999</v>
      </c>
    </row>
    <row r="34" spans="1:12">
      <c r="A34" s="92" t="s">
        <v>319</v>
      </c>
      <c r="B34" s="93">
        <v>0</v>
      </c>
      <c r="C34" s="93" t="s">
        <v>14</v>
      </c>
      <c r="D34" s="94">
        <v>31860374.59</v>
      </c>
      <c r="E34" s="95">
        <f>VLOOKUP(A34,'Balancete 2014'!A:D,4,0)</f>
        <v>193288193.13999999</v>
      </c>
      <c r="I34" s="95">
        <v>160864686.08000001</v>
      </c>
      <c r="J34" s="99">
        <f t="shared" si="0"/>
        <v>-161427818.54999998</v>
      </c>
    </row>
    <row r="35" spans="1:12">
      <c r="A35" s="92" t="s">
        <v>15</v>
      </c>
      <c r="B35" s="93">
        <v>-1</v>
      </c>
      <c r="C35" s="93" t="s">
        <v>16</v>
      </c>
      <c r="D35" s="94">
        <v>31860374.59</v>
      </c>
      <c r="E35" s="95">
        <f>VLOOKUP(A35,'Balancete 2014'!A:D,4,0)</f>
        <v>193288193.13999999</v>
      </c>
      <c r="I35" s="95">
        <v>160864686.08000001</v>
      </c>
      <c r="J35" s="99">
        <f t="shared" si="0"/>
        <v>-161427818.54999998</v>
      </c>
    </row>
    <row r="36" spans="1:12">
      <c r="A36" s="92" t="s">
        <v>17</v>
      </c>
      <c r="B36" s="93">
        <v>-3</v>
      </c>
      <c r="C36" s="93" t="s">
        <v>796</v>
      </c>
      <c r="D36" s="94">
        <v>31860374.59</v>
      </c>
      <c r="E36" s="95">
        <f>VLOOKUP(A36,'Balancete 2014'!A:D,4,0)</f>
        <v>193288193.13999999</v>
      </c>
      <c r="I36" s="95">
        <v>160864686.08000001</v>
      </c>
      <c r="J36" s="99">
        <f t="shared" si="0"/>
        <v>-161427818.54999998</v>
      </c>
    </row>
    <row r="37" spans="1:12">
      <c r="A37" s="92" t="s">
        <v>18</v>
      </c>
      <c r="B37" s="93">
        <v>-1</v>
      </c>
      <c r="C37" s="93" t="s">
        <v>797</v>
      </c>
      <c r="D37" s="94">
        <v>31776860.609999999</v>
      </c>
      <c r="E37" s="95">
        <f>VLOOKUP(A37,'Balancete 2014'!A:D,4,0)</f>
        <v>59850844.119999997</v>
      </c>
      <c r="I37" s="95">
        <v>32596312.260000002</v>
      </c>
      <c r="J37" s="99">
        <f t="shared" si="0"/>
        <v>-28073983.509999998</v>
      </c>
    </row>
    <row r="38" spans="1:12">
      <c r="A38" s="92" t="s">
        <v>19</v>
      </c>
      <c r="B38" s="93">
        <v>0</v>
      </c>
      <c r="C38" s="93" t="s">
        <v>798</v>
      </c>
      <c r="D38" s="94">
        <v>83513.98</v>
      </c>
      <c r="E38" s="95">
        <f>VLOOKUP(A38,'Balancete 2014'!A:D,4,0)</f>
        <v>133437349.02</v>
      </c>
      <c r="I38" s="95">
        <v>128268373.81999999</v>
      </c>
      <c r="J38" s="99">
        <f t="shared" si="0"/>
        <v>-133353835.03999999</v>
      </c>
    </row>
    <row r="39" spans="1:12">
      <c r="A39" s="92" t="s">
        <v>320</v>
      </c>
      <c r="B39" s="93">
        <v>0</v>
      </c>
      <c r="C39" s="93" t="s">
        <v>20</v>
      </c>
      <c r="D39" s="94">
        <v>3518106.32</v>
      </c>
      <c r="E39" s="95">
        <f>VLOOKUP(A39,'Balancete 2014'!A:D,4,0)</f>
        <v>80295.75</v>
      </c>
      <c r="I39" s="95">
        <v>1554115.63</v>
      </c>
      <c r="J39" s="99">
        <f t="shared" si="0"/>
        <v>3437810.57</v>
      </c>
      <c r="K39" s="100">
        <f>+D39-E39</f>
        <v>3437810.57</v>
      </c>
      <c r="L39" s="95">
        <f>+K39/1000</f>
        <v>3437.8105699999996</v>
      </c>
    </row>
    <row r="40" spans="1:12">
      <c r="A40" s="92" t="s">
        <v>21</v>
      </c>
      <c r="B40" s="93">
        <v>0</v>
      </c>
      <c r="C40" s="93" t="s">
        <v>22</v>
      </c>
      <c r="D40" s="94">
        <v>55410.84</v>
      </c>
      <c r="E40" s="95">
        <f>VLOOKUP(A40,'Balancete 2014'!A:D,4,0)</f>
        <v>38130.57</v>
      </c>
      <c r="I40" s="95">
        <v>28358.59</v>
      </c>
      <c r="J40" s="99">
        <f t="shared" si="0"/>
        <v>17280.269999999997</v>
      </c>
    </row>
    <row r="41" spans="1:12">
      <c r="A41" s="92" t="s">
        <v>23</v>
      </c>
      <c r="B41" s="93">
        <v>-4</v>
      </c>
      <c r="C41" s="93" t="s">
        <v>968</v>
      </c>
      <c r="D41" s="94">
        <v>55410.84</v>
      </c>
      <c r="E41" s="95">
        <f>VLOOKUP(A41,'Balancete 2014'!A:D,4,0)</f>
        <v>38130.57</v>
      </c>
      <c r="I41" s="95">
        <v>28358.59</v>
      </c>
      <c r="J41" s="99">
        <f t="shared" si="0"/>
        <v>17280.269999999997</v>
      </c>
    </row>
    <row r="42" spans="1:12">
      <c r="A42" s="92" t="s">
        <v>24</v>
      </c>
      <c r="B42" s="93">
        <v>-2</v>
      </c>
      <c r="C42" s="93" t="s">
        <v>799</v>
      </c>
      <c r="D42" s="94">
        <v>40743.26</v>
      </c>
      <c r="E42" s="95">
        <f>VLOOKUP(A42,'Balancete 2014'!A:D,4,0)</f>
        <v>28037.18</v>
      </c>
      <c r="I42" s="95">
        <v>20851.900000000001</v>
      </c>
      <c r="J42" s="99">
        <f t="shared" si="0"/>
        <v>12706.080000000002</v>
      </c>
    </row>
    <row r="43" spans="1:12">
      <c r="A43" s="92" t="s">
        <v>25</v>
      </c>
      <c r="B43" s="93">
        <v>0</v>
      </c>
      <c r="C43" s="93" t="s">
        <v>800</v>
      </c>
      <c r="D43" s="94">
        <v>14667.58</v>
      </c>
      <c r="E43" s="95">
        <f>VLOOKUP(A43,'Balancete 2014'!A:D,4,0)</f>
        <v>10093.39</v>
      </c>
      <c r="I43" s="95">
        <v>7506.69</v>
      </c>
      <c r="J43" s="99">
        <f t="shared" si="0"/>
        <v>4574.1900000000005</v>
      </c>
    </row>
    <row r="44" spans="1:12">
      <c r="A44" s="92" t="s">
        <v>26</v>
      </c>
      <c r="B44" s="93">
        <v>-8</v>
      </c>
      <c r="C44" s="93" t="s">
        <v>27</v>
      </c>
      <c r="D44" s="94">
        <v>53544.480000000003</v>
      </c>
      <c r="E44" s="95" t="e">
        <f>VLOOKUP(A44,'Balancete 2014'!A:D,4,0)</f>
        <v>#N/A</v>
      </c>
      <c r="I44" s="95">
        <v>1454836.59</v>
      </c>
      <c r="J44" s="99" t="e">
        <f t="shared" si="0"/>
        <v>#N/A</v>
      </c>
    </row>
    <row r="45" spans="1:12">
      <c r="A45" s="92" t="s">
        <v>675</v>
      </c>
      <c r="B45" s="93">
        <v>-5</v>
      </c>
      <c r="C45" s="93" t="s">
        <v>741</v>
      </c>
      <c r="D45" s="94">
        <v>53544.480000000003</v>
      </c>
      <c r="E45" s="95" t="e">
        <f>VLOOKUP(A45,'Balancete 2014'!A:D,4,0)</f>
        <v>#N/A</v>
      </c>
      <c r="I45" s="95">
        <v>1454836.59</v>
      </c>
      <c r="J45" s="99" t="e">
        <f t="shared" si="0"/>
        <v>#N/A</v>
      </c>
    </row>
    <row r="46" spans="1:12">
      <c r="A46" s="92" t="s">
        <v>676</v>
      </c>
      <c r="B46" s="93">
        <v>-3</v>
      </c>
      <c r="C46" s="93" t="s">
        <v>881</v>
      </c>
      <c r="D46" s="94">
        <v>53544.480000000003</v>
      </c>
      <c r="E46" s="95" t="e">
        <f>VLOOKUP(A46,'Balancete 2014'!A:D,4,0)</f>
        <v>#N/A</v>
      </c>
      <c r="I46" s="95">
        <v>1454836.59</v>
      </c>
      <c r="J46" s="99" t="e">
        <f t="shared" si="0"/>
        <v>#N/A</v>
      </c>
    </row>
    <row r="47" spans="1:12">
      <c r="A47" s="92" t="s">
        <v>882</v>
      </c>
      <c r="B47" s="93">
        <v>-2</v>
      </c>
      <c r="C47" s="93" t="s">
        <v>883</v>
      </c>
      <c r="D47" s="94">
        <v>3401410.97</v>
      </c>
      <c r="E47" s="95" t="e">
        <f>VLOOKUP(A47,'Balancete 2014'!A:D,4,0)</f>
        <v>#N/A</v>
      </c>
      <c r="I47" s="95" t="e">
        <v>#N/A</v>
      </c>
      <c r="J47" s="99" t="e">
        <f t="shared" si="0"/>
        <v>#N/A</v>
      </c>
    </row>
    <row r="48" spans="1:12">
      <c r="A48" s="92" t="s">
        <v>884</v>
      </c>
      <c r="B48" s="93">
        <v>-8</v>
      </c>
      <c r="C48" s="93" t="s">
        <v>885</v>
      </c>
      <c r="D48" s="94">
        <v>3401410.97</v>
      </c>
      <c r="E48" s="95" t="e">
        <f>VLOOKUP(A48,'Balancete 2014'!A:D,4,0)</f>
        <v>#N/A</v>
      </c>
      <c r="I48" s="95" t="e">
        <v>#N/A</v>
      </c>
      <c r="J48" s="99" t="e">
        <f t="shared" si="0"/>
        <v>#N/A</v>
      </c>
    </row>
    <row r="49" spans="1:10">
      <c r="A49" s="92" t="s">
        <v>886</v>
      </c>
      <c r="B49" s="93">
        <v>-2</v>
      </c>
      <c r="C49" s="93" t="s">
        <v>887</v>
      </c>
      <c r="D49" s="94">
        <v>3401410.97</v>
      </c>
      <c r="E49" s="95" t="e">
        <f>VLOOKUP(A49,'Balancete 2014'!A:D,4,0)</f>
        <v>#N/A</v>
      </c>
      <c r="I49" s="95" t="e">
        <v>#N/A</v>
      </c>
      <c r="J49" s="99" t="e">
        <f t="shared" si="0"/>
        <v>#N/A</v>
      </c>
    </row>
    <row r="50" spans="1:10">
      <c r="A50" s="92" t="s">
        <v>302</v>
      </c>
      <c r="B50" s="93">
        <v>-2</v>
      </c>
      <c r="C50" s="93" t="s">
        <v>303</v>
      </c>
      <c r="D50" s="94">
        <v>7740.03</v>
      </c>
      <c r="E50" s="95">
        <f>VLOOKUP(A50,'Balancete 2014'!A:D,4,0)</f>
        <v>42165.18</v>
      </c>
      <c r="I50" s="95">
        <v>70920.45</v>
      </c>
      <c r="J50" s="99">
        <f t="shared" si="0"/>
        <v>-34425.15</v>
      </c>
    </row>
    <row r="51" spans="1:10">
      <c r="A51" s="92" t="s">
        <v>304</v>
      </c>
      <c r="B51" s="93">
        <v>-7</v>
      </c>
      <c r="C51" s="93" t="s">
        <v>303</v>
      </c>
      <c r="D51" s="94">
        <v>7740.03</v>
      </c>
      <c r="E51" s="95">
        <f>VLOOKUP(A51,'Balancete 2014'!A:D,4,0)</f>
        <v>42165.18</v>
      </c>
      <c r="I51" s="95">
        <v>70920.45</v>
      </c>
      <c r="J51" s="99">
        <f t="shared" si="0"/>
        <v>-34425.15</v>
      </c>
    </row>
    <row r="52" spans="1:10">
      <c r="A52" s="92" t="s">
        <v>305</v>
      </c>
      <c r="B52" s="93">
        <v>-4</v>
      </c>
      <c r="C52" s="93" t="s">
        <v>888</v>
      </c>
      <c r="D52" s="94">
        <v>7740.03</v>
      </c>
      <c r="E52" s="95">
        <f>VLOOKUP(A52,'Balancete 2014'!A:D,4,0)</f>
        <v>42165.18</v>
      </c>
      <c r="I52" s="95">
        <v>70920.45</v>
      </c>
      <c r="J52" s="99">
        <f t="shared" si="0"/>
        <v>-34425.15</v>
      </c>
    </row>
    <row r="53" spans="1:10">
      <c r="A53" s="92">
        <v>2</v>
      </c>
      <c r="B53" s="93">
        <v>-3</v>
      </c>
      <c r="C53" s="93" t="s">
        <v>245</v>
      </c>
      <c r="D53" s="94">
        <v>2138207148.71</v>
      </c>
      <c r="E53" s="95">
        <f>VLOOKUP(A53,'Balancete 2014'!A:D,4,0)</f>
        <v>4542095578.6999998</v>
      </c>
      <c r="I53" s="95">
        <v>3536067198.8800001</v>
      </c>
      <c r="J53" s="99">
        <f t="shared" si="0"/>
        <v>-2403888429.9899998</v>
      </c>
    </row>
    <row r="54" spans="1:10">
      <c r="A54" s="92" t="s">
        <v>321</v>
      </c>
      <c r="B54" s="93">
        <v>0</v>
      </c>
      <c r="C54" s="93" t="s">
        <v>28</v>
      </c>
      <c r="D54" s="94">
        <v>2138207148.71</v>
      </c>
      <c r="E54" s="95">
        <f>VLOOKUP(A54,'Balancete 2014'!A:D,4,0)</f>
        <v>4542095503.6999998</v>
      </c>
      <c r="I54" s="95">
        <v>3536066823.8800001</v>
      </c>
      <c r="J54" s="99">
        <f t="shared" si="0"/>
        <v>-2403888354.9899998</v>
      </c>
    </row>
    <row r="55" spans="1:10">
      <c r="A55" s="92" t="s">
        <v>29</v>
      </c>
      <c r="B55" s="93">
        <v>-7</v>
      </c>
      <c r="C55" s="93" t="s">
        <v>30</v>
      </c>
      <c r="D55" s="94">
        <v>2138207148.71</v>
      </c>
      <c r="E55" s="95">
        <f>VLOOKUP(A55,'Balancete 2014'!A:D,4,0)</f>
        <v>4542095503.6999998</v>
      </c>
      <c r="I55" s="95">
        <v>3536066823.8800001</v>
      </c>
      <c r="J55" s="99">
        <f t="shared" si="0"/>
        <v>-2403888354.9899998</v>
      </c>
    </row>
    <row r="56" spans="1:10">
      <c r="A56" s="92" t="s">
        <v>31</v>
      </c>
      <c r="B56" s="93">
        <v>0</v>
      </c>
      <c r="C56" s="93" t="s">
        <v>32</v>
      </c>
      <c r="D56" s="94">
        <v>2138207148.71</v>
      </c>
      <c r="E56" s="95">
        <f>VLOOKUP(A56,'Balancete 2014'!A:D,4,0)</f>
        <v>4542095503.6999998</v>
      </c>
      <c r="I56" s="95">
        <v>3536066823.8800001</v>
      </c>
      <c r="J56" s="99">
        <f t="shared" si="0"/>
        <v>-2403888354.9899998</v>
      </c>
    </row>
    <row r="57" spans="1:10">
      <c r="A57" s="92" t="s">
        <v>268</v>
      </c>
      <c r="B57" s="93">
        <v>-2</v>
      </c>
      <c r="C57" s="93" t="s">
        <v>398</v>
      </c>
      <c r="D57" s="94">
        <v>1528663343.77</v>
      </c>
      <c r="E57" s="95">
        <f>VLOOKUP(A57,'Balancete 2014'!A:D,4,0)</f>
        <v>1469201224.8</v>
      </c>
      <c r="I57" s="95">
        <v>828499930</v>
      </c>
      <c r="J57" s="99">
        <f t="shared" si="0"/>
        <v>59462118.970000029</v>
      </c>
    </row>
    <row r="58" spans="1:10">
      <c r="A58" s="92" t="s">
        <v>269</v>
      </c>
      <c r="B58" s="93">
        <v>0</v>
      </c>
      <c r="C58" s="93" t="s">
        <v>589</v>
      </c>
      <c r="D58" s="94">
        <v>1529615982.96</v>
      </c>
      <c r="E58" s="95">
        <f>VLOOKUP(A58,'Balancete 2014'!A:D,4,0)</f>
        <v>1470153863.99</v>
      </c>
      <c r="I58" s="95">
        <v>828499930</v>
      </c>
      <c r="J58" s="99">
        <f t="shared" si="0"/>
        <v>59462118.970000029</v>
      </c>
    </row>
    <row r="59" spans="1:10">
      <c r="A59" s="92" t="s">
        <v>653</v>
      </c>
      <c r="B59" s="93">
        <v>-9</v>
      </c>
      <c r="C59" s="93" t="s">
        <v>654</v>
      </c>
      <c r="D59" s="94">
        <v>-952639.19</v>
      </c>
      <c r="E59" s="95">
        <f>VLOOKUP(A59,'Balancete 2014'!A:D,4,0)</f>
        <v>-952639.19</v>
      </c>
      <c r="I59" s="95" t="e">
        <v>#N/A</v>
      </c>
      <c r="J59" s="99">
        <f t="shared" si="0"/>
        <v>0</v>
      </c>
    </row>
    <row r="60" spans="1:10">
      <c r="A60" s="92" t="s">
        <v>270</v>
      </c>
      <c r="B60" s="93">
        <v>-9</v>
      </c>
      <c r="C60" s="93" t="s">
        <v>399</v>
      </c>
      <c r="D60" s="94">
        <v>176358000</v>
      </c>
      <c r="E60" s="95">
        <f>VLOOKUP(A60,'Balancete 2014'!A:D,4,0)</f>
        <v>176358000</v>
      </c>
      <c r="I60" s="95">
        <v>176358000</v>
      </c>
      <c r="J60" s="99">
        <f t="shared" si="0"/>
        <v>0</v>
      </c>
    </row>
    <row r="61" spans="1:10">
      <c r="A61" s="92" t="s">
        <v>271</v>
      </c>
      <c r="B61" s="93">
        <v>-7</v>
      </c>
      <c r="C61" s="93" t="s">
        <v>400</v>
      </c>
      <c r="D61" s="94">
        <v>176358000</v>
      </c>
      <c r="E61" s="95">
        <f>VLOOKUP(A61,'Balancete 2014'!A:D,4,0)</f>
        <v>176358000</v>
      </c>
      <c r="I61" s="95">
        <v>176358000</v>
      </c>
      <c r="J61" s="99">
        <f t="shared" si="0"/>
        <v>0</v>
      </c>
    </row>
    <row r="62" spans="1:10">
      <c r="A62" s="92" t="s">
        <v>272</v>
      </c>
      <c r="B62" s="93">
        <v>-1</v>
      </c>
      <c r="C62" s="93" t="s">
        <v>401</v>
      </c>
      <c r="D62" s="94">
        <v>32965137.940000001</v>
      </c>
      <c r="E62" s="95">
        <f>VLOOKUP(A62,'Balancete 2014'!A:D,4,0)</f>
        <v>35837622.100000001</v>
      </c>
      <c r="I62" s="95">
        <v>38927396.259999998</v>
      </c>
      <c r="J62" s="99">
        <f t="shared" si="0"/>
        <v>-2872484.16</v>
      </c>
    </row>
    <row r="63" spans="1:10">
      <c r="A63" s="92" t="s">
        <v>273</v>
      </c>
      <c r="B63" s="93">
        <v>0</v>
      </c>
      <c r="C63" s="93" t="s">
        <v>402</v>
      </c>
      <c r="D63" s="94">
        <v>162276000</v>
      </c>
      <c r="E63" s="95">
        <f>VLOOKUP(A63,'Balancete 2014'!A:D,4,0)</f>
        <v>162276000</v>
      </c>
      <c r="I63" s="95">
        <v>162276000</v>
      </c>
      <c r="J63" s="99">
        <f t="shared" si="0"/>
        <v>0</v>
      </c>
    </row>
    <row r="64" spans="1:10">
      <c r="A64" s="92" t="s">
        <v>274</v>
      </c>
      <c r="B64" s="93">
        <v>-8</v>
      </c>
      <c r="C64" s="93" t="s">
        <v>403</v>
      </c>
      <c r="D64" s="94">
        <v>-129310862.06</v>
      </c>
      <c r="E64" s="95">
        <f>VLOOKUP(A64,'Balancete 2014'!A:D,4,0)</f>
        <v>-126438377.90000001</v>
      </c>
      <c r="I64" s="95">
        <v>-123348603.73999999</v>
      </c>
      <c r="J64" s="99">
        <f t="shared" si="0"/>
        <v>-2872484.1599999964</v>
      </c>
    </row>
    <row r="65" spans="1:10">
      <c r="A65" s="92" t="s">
        <v>275</v>
      </c>
      <c r="B65" s="93">
        <v>-8</v>
      </c>
      <c r="C65" s="93" t="s">
        <v>276</v>
      </c>
      <c r="D65" s="94">
        <v>132998508.81999999</v>
      </c>
      <c r="E65" s="95">
        <f>VLOOKUP(A65,'Balancete 2014'!A:D,4,0)</f>
        <v>2638564418.52</v>
      </c>
      <c r="H65" s="101"/>
      <c r="I65" s="95">
        <v>2251138247.6199999</v>
      </c>
      <c r="J65" s="99">
        <f t="shared" si="0"/>
        <v>-2505565909.6999998</v>
      </c>
    </row>
    <row r="66" spans="1:10">
      <c r="A66" s="92" t="s">
        <v>278</v>
      </c>
      <c r="B66" s="93">
        <v>-4</v>
      </c>
      <c r="C66" s="93" t="s">
        <v>404</v>
      </c>
      <c r="D66" s="94">
        <v>18541523.02</v>
      </c>
      <c r="E66" s="95">
        <f>VLOOKUP(A66,'Balancete 2014'!A:D,4,0)</f>
        <v>14930652.029999999</v>
      </c>
      <c r="H66" s="94"/>
      <c r="I66" s="95">
        <v>13318390.84</v>
      </c>
      <c r="J66" s="99">
        <f t="shared" si="0"/>
        <v>3610870.99</v>
      </c>
    </row>
    <row r="67" spans="1:10">
      <c r="A67" s="92" t="s">
        <v>279</v>
      </c>
      <c r="B67" s="93">
        <v>-2</v>
      </c>
      <c r="C67" s="93" t="s">
        <v>405</v>
      </c>
      <c r="D67" s="94">
        <v>6955910.9500000002</v>
      </c>
      <c r="E67" s="95">
        <f>VLOOKUP(A67,'Balancete 2014'!A:D,4,0)</f>
        <v>6880514.5099999998</v>
      </c>
      <c r="H67" s="101"/>
      <c r="I67" s="95">
        <v>6832155.2699999996</v>
      </c>
      <c r="J67" s="99">
        <f t="shared" si="0"/>
        <v>75396.44000000041</v>
      </c>
    </row>
    <row r="68" spans="1:10">
      <c r="A68" s="92" t="s">
        <v>406</v>
      </c>
      <c r="B68" s="93">
        <v>0</v>
      </c>
      <c r="C68" s="93" t="s">
        <v>407</v>
      </c>
      <c r="D68" s="94">
        <v>38292277.310000002</v>
      </c>
      <c r="E68" s="95">
        <f>VLOOKUP(A68,'Balancete 2014'!A:D,4,0)</f>
        <v>37063734.409999996</v>
      </c>
      <c r="I68" s="95" t="e">
        <v>#N/A</v>
      </c>
      <c r="J68" s="99">
        <f t="shared" si="0"/>
        <v>1228542.900000006</v>
      </c>
    </row>
    <row r="69" spans="1:10">
      <c r="A69" s="92" t="s">
        <v>280</v>
      </c>
      <c r="B69" s="93">
        <v>0</v>
      </c>
      <c r="C69" s="93" t="s">
        <v>408</v>
      </c>
      <c r="D69" s="94">
        <v>1840749.35</v>
      </c>
      <c r="E69" s="95">
        <f>VLOOKUP(A69,'Balancete 2014'!A:D,4,0)</f>
        <v>1840770.2</v>
      </c>
      <c r="I69" s="95">
        <v>1896916.47</v>
      </c>
      <c r="J69" s="99">
        <f t="shared" si="0"/>
        <v>-20.849999999860302</v>
      </c>
    </row>
    <row r="70" spans="1:10">
      <c r="A70" s="92" t="s">
        <v>281</v>
      </c>
      <c r="B70" s="93">
        <v>-9</v>
      </c>
      <c r="C70" s="93" t="s">
        <v>409</v>
      </c>
      <c r="D70" s="94">
        <v>2.5</v>
      </c>
      <c r="E70" s="95">
        <f>VLOOKUP(A70,'Balancete 2014'!A:D,4,0)</f>
        <v>2.5</v>
      </c>
      <c r="I70" s="95">
        <v>2.5</v>
      </c>
      <c r="J70" s="99">
        <f t="shared" si="0"/>
        <v>0</v>
      </c>
    </row>
    <row r="71" spans="1:10">
      <c r="A71" s="92" t="s">
        <v>282</v>
      </c>
      <c r="B71" s="93">
        <v>-7</v>
      </c>
      <c r="C71" s="93" t="s">
        <v>410</v>
      </c>
      <c r="D71" s="94">
        <v>32427856.469999999</v>
      </c>
      <c r="E71" s="95">
        <f>VLOOKUP(A71,'Balancete 2014'!A:D,4,0)</f>
        <v>32708898.859999999</v>
      </c>
      <c r="I71" s="95">
        <v>38962644.07</v>
      </c>
      <c r="J71" s="99">
        <f t="shared" si="0"/>
        <v>-281042.3900000006</v>
      </c>
    </row>
    <row r="72" spans="1:10">
      <c r="A72" s="92" t="s">
        <v>284</v>
      </c>
      <c r="B72" s="93">
        <v>-1</v>
      </c>
      <c r="C72" s="93" t="s">
        <v>412</v>
      </c>
      <c r="D72" s="94">
        <v>30392935.879999999</v>
      </c>
      <c r="E72" s="95">
        <f>VLOOKUP(A72,'Balancete 2014'!A:D,4,0)</f>
        <v>61471779.280000001</v>
      </c>
      <c r="I72" s="95">
        <v>64118119.740000002</v>
      </c>
      <c r="J72" s="99">
        <f t="shared" si="0"/>
        <v>-31078843.400000002</v>
      </c>
    </row>
    <row r="73" spans="1:10">
      <c r="A73" s="92" t="s">
        <v>413</v>
      </c>
      <c r="B73" s="93">
        <v>0</v>
      </c>
      <c r="C73" s="93" t="s">
        <v>622</v>
      </c>
      <c r="D73" s="94">
        <v>1010953.34</v>
      </c>
      <c r="E73" s="95">
        <f>VLOOKUP(A73,'Balancete 2014'!A:D,4,0)</f>
        <v>1010953.34</v>
      </c>
      <c r="I73" s="95" t="e">
        <v>#N/A</v>
      </c>
      <c r="J73" s="99">
        <f t="shared" si="0"/>
        <v>0</v>
      </c>
    </row>
    <row r="74" spans="1:10">
      <c r="A74" s="92" t="s">
        <v>690</v>
      </c>
      <c r="B74" s="93">
        <v>0</v>
      </c>
      <c r="C74" s="93" t="s">
        <v>889</v>
      </c>
      <c r="D74" s="94">
        <v>3536300</v>
      </c>
      <c r="E74" s="95" t="e">
        <f>VLOOKUP(A74,'Balancete 2014'!A:D,4,0)</f>
        <v>#N/A</v>
      </c>
      <c r="I74" s="95" t="e">
        <v>#N/A</v>
      </c>
      <c r="J74" s="99" t="e">
        <f t="shared" si="0"/>
        <v>#N/A</v>
      </c>
    </row>
    <row r="75" spans="1:10">
      <c r="A75" s="92" t="s">
        <v>285</v>
      </c>
      <c r="B75" s="93">
        <v>-4</v>
      </c>
      <c r="C75" s="93" t="s">
        <v>415</v>
      </c>
      <c r="D75" s="94">
        <v>79281286</v>
      </c>
      <c r="E75" s="95">
        <f>VLOOKUP(A75,'Balancete 2014'!A:D,4,0)</f>
        <v>79314858.280000001</v>
      </c>
      <c r="I75" s="95">
        <v>79281286</v>
      </c>
      <c r="J75" s="99">
        <f t="shared" si="0"/>
        <v>-33572.280000001192</v>
      </c>
    </row>
    <row r="76" spans="1:10">
      <c r="A76" s="92" t="s">
        <v>286</v>
      </c>
      <c r="B76" s="93">
        <v>-2</v>
      </c>
      <c r="C76" s="93" t="s">
        <v>416</v>
      </c>
      <c r="D76" s="94">
        <v>79281286</v>
      </c>
      <c r="E76" s="95">
        <f>VLOOKUP(A76,'Balancete 2014'!A:D,4,0)</f>
        <v>79281286</v>
      </c>
      <c r="I76" s="95">
        <v>79281286</v>
      </c>
      <c r="J76" s="99">
        <f t="shared" si="0"/>
        <v>0</v>
      </c>
    </row>
    <row r="77" spans="1:10">
      <c r="A77" s="92" t="s">
        <v>287</v>
      </c>
      <c r="B77" s="93">
        <v>-7</v>
      </c>
      <c r="C77" s="93" t="s">
        <v>890</v>
      </c>
      <c r="D77" s="94">
        <v>123776796</v>
      </c>
      <c r="E77" s="95">
        <f>VLOOKUP(A77,'Balancete 2014'!A:D,4,0)</f>
        <v>142819380</v>
      </c>
      <c r="I77" s="95">
        <v>161861964</v>
      </c>
      <c r="J77" s="99">
        <f t="shared" si="0"/>
        <v>-19042584</v>
      </c>
    </row>
    <row r="78" spans="1:10">
      <c r="A78" s="92" t="s">
        <v>288</v>
      </c>
      <c r="B78" s="93">
        <v>-5</v>
      </c>
      <c r="C78" s="93" t="s">
        <v>418</v>
      </c>
      <c r="D78" s="94">
        <v>190425840</v>
      </c>
      <c r="E78" s="95">
        <f>VLOOKUP(A78,'Balancete 2014'!A:D,4,0)</f>
        <v>190425840</v>
      </c>
      <c r="I78" s="95">
        <v>190425840</v>
      </c>
      <c r="J78" s="99">
        <f t="shared" si="0"/>
        <v>0</v>
      </c>
    </row>
    <row r="79" spans="1:10">
      <c r="A79" s="92" t="s">
        <v>289</v>
      </c>
      <c r="B79" s="93">
        <v>-3</v>
      </c>
      <c r="C79" s="93" t="s">
        <v>419</v>
      </c>
      <c r="D79" s="94">
        <v>-66649044</v>
      </c>
      <c r="E79" s="95">
        <f>VLOOKUP(A79,'Balancete 2014'!A:D,4,0)</f>
        <v>-47606460</v>
      </c>
      <c r="I79" s="95">
        <v>-28563876</v>
      </c>
      <c r="J79" s="99">
        <f t="shared" si="0"/>
        <v>-19042584</v>
      </c>
    </row>
    <row r="80" spans="1:10">
      <c r="A80" s="92" t="s">
        <v>749</v>
      </c>
      <c r="B80" s="93">
        <v>0</v>
      </c>
      <c r="C80" s="93" t="s">
        <v>891</v>
      </c>
      <c r="D80" s="94">
        <v>64164076.18</v>
      </c>
      <c r="E80" s="95" t="e">
        <f>VLOOKUP(A80,'Balancete 2014'!A:D,4,0)</f>
        <v>#N/A</v>
      </c>
      <c r="I80" s="95" t="e">
        <v>#N/A</v>
      </c>
      <c r="J80" s="99" t="e">
        <f t="shared" si="0"/>
        <v>#N/A</v>
      </c>
    </row>
    <row r="81" spans="1:10">
      <c r="A81" s="92" t="s">
        <v>751</v>
      </c>
      <c r="B81" s="93">
        <v>-8</v>
      </c>
      <c r="C81" s="93" t="s">
        <v>693</v>
      </c>
      <c r="D81" s="94">
        <v>66011000</v>
      </c>
      <c r="E81" s="95" t="e">
        <f>VLOOKUP(A81,'Balancete 2014'!A:D,4,0)</f>
        <v>#N/A</v>
      </c>
      <c r="I81" s="95" t="e">
        <v>#N/A</v>
      </c>
      <c r="J81" s="99" t="e">
        <f t="shared" si="0"/>
        <v>#N/A</v>
      </c>
    </row>
    <row r="82" spans="1:10">
      <c r="A82" s="92" t="s">
        <v>753</v>
      </c>
      <c r="B82" s="93">
        <v>-6</v>
      </c>
      <c r="C82" s="93" t="s">
        <v>746</v>
      </c>
      <c r="D82" s="94">
        <v>-1846923.82</v>
      </c>
      <c r="E82" s="95" t="e">
        <f>VLOOKUP(A82,'Balancete 2014'!A:D,4,0)</f>
        <v>#N/A</v>
      </c>
      <c r="I82" s="95" t="e">
        <v>#N/A</v>
      </c>
      <c r="J82" s="99" t="e">
        <f t="shared" si="0"/>
        <v>#N/A</v>
      </c>
    </row>
    <row r="83" spans="1:10">
      <c r="A83" s="92" t="s">
        <v>322</v>
      </c>
      <c r="B83" s="93">
        <v>-8</v>
      </c>
      <c r="C83" s="93" t="s">
        <v>33</v>
      </c>
      <c r="D83" s="94">
        <v>0</v>
      </c>
      <c r="E83" s="95">
        <f>VLOOKUP(A83,'Balancete 2014'!A:D,4,0)</f>
        <v>75</v>
      </c>
      <c r="I83" s="95">
        <v>375</v>
      </c>
      <c r="J83" s="99">
        <f t="shared" ref="J83:J146" si="1">+D83-E83</f>
        <v>-75</v>
      </c>
    </row>
    <row r="84" spans="1:10">
      <c r="A84" s="92" t="s">
        <v>34</v>
      </c>
      <c r="B84" s="93">
        <v>0</v>
      </c>
      <c r="C84" s="93" t="s">
        <v>35</v>
      </c>
      <c r="D84" s="94">
        <v>0</v>
      </c>
      <c r="E84" s="95">
        <f>VLOOKUP(A84,'Balancete 2014'!A:D,4,0)</f>
        <v>75</v>
      </c>
      <c r="I84" s="95">
        <v>-1125</v>
      </c>
      <c r="J84" s="99">
        <f t="shared" si="1"/>
        <v>-75</v>
      </c>
    </row>
    <row r="85" spans="1:10">
      <c r="A85" s="92" t="s">
        <v>420</v>
      </c>
      <c r="B85" s="93">
        <v>-8</v>
      </c>
      <c r="C85" s="93" t="s">
        <v>421</v>
      </c>
      <c r="D85" s="94">
        <v>1500</v>
      </c>
      <c r="E85" s="95">
        <f>VLOOKUP(A85,'Balancete 2014'!A:D,4,0)</f>
        <v>1500</v>
      </c>
      <c r="I85" s="95" t="e">
        <v>#N/A</v>
      </c>
      <c r="J85" s="99">
        <f t="shared" si="1"/>
        <v>0</v>
      </c>
    </row>
    <row r="86" spans="1:10">
      <c r="A86" s="92" t="s">
        <v>422</v>
      </c>
      <c r="B86" s="93">
        <v>0</v>
      </c>
      <c r="C86" s="93" t="s">
        <v>423</v>
      </c>
      <c r="D86" s="94">
        <v>1500</v>
      </c>
      <c r="E86" s="95">
        <f>VLOOKUP(A86,'Balancete 2014'!A:D,4,0)</f>
        <v>1500</v>
      </c>
      <c r="I86" s="95" t="e">
        <v>#N/A</v>
      </c>
      <c r="J86" s="99">
        <f t="shared" si="1"/>
        <v>0</v>
      </c>
    </row>
    <row r="87" spans="1:10">
      <c r="A87" s="92" t="s">
        <v>424</v>
      </c>
      <c r="B87" s="93">
        <v>-9</v>
      </c>
      <c r="C87" s="93" t="s">
        <v>892</v>
      </c>
      <c r="D87" s="94">
        <v>1500</v>
      </c>
      <c r="E87" s="95">
        <f>VLOOKUP(A87,'Balancete 2014'!A:D,4,0)</f>
        <v>1500</v>
      </c>
      <c r="I87" s="95" t="e">
        <v>#N/A</v>
      </c>
      <c r="J87" s="99">
        <f t="shared" si="1"/>
        <v>0</v>
      </c>
    </row>
    <row r="88" spans="1:10">
      <c r="A88" s="92" t="s">
        <v>36</v>
      </c>
      <c r="B88" s="93">
        <v>-4</v>
      </c>
      <c r="C88" s="93" t="s">
        <v>37</v>
      </c>
      <c r="D88" s="94">
        <v>-1500</v>
      </c>
      <c r="E88" s="95">
        <f>VLOOKUP(A88,'Balancete 2014'!A:D,4,0)</f>
        <v>-1425</v>
      </c>
      <c r="I88" s="95">
        <v>-1125</v>
      </c>
      <c r="J88" s="99">
        <f t="shared" si="1"/>
        <v>-75</v>
      </c>
    </row>
    <row r="89" spans="1:10">
      <c r="A89" s="92" t="s">
        <v>38</v>
      </c>
      <c r="B89" s="93">
        <v>0</v>
      </c>
      <c r="C89" s="93" t="s">
        <v>425</v>
      </c>
      <c r="D89" s="94">
        <v>-1500</v>
      </c>
      <c r="E89" s="95">
        <f>VLOOKUP(A89,'Balancete 2014'!A:D,4,0)</f>
        <v>-1425</v>
      </c>
      <c r="I89" s="95">
        <v>-1125</v>
      </c>
      <c r="J89" s="99">
        <f t="shared" si="1"/>
        <v>-75</v>
      </c>
    </row>
    <row r="90" spans="1:10">
      <c r="A90" s="92" t="s">
        <v>39</v>
      </c>
      <c r="B90" s="93">
        <v>-4</v>
      </c>
      <c r="C90" s="93" t="s">
        <v>893</v>
      </c>
      <c r="D90" s="94">
        <v>-1500</v>
      </c>
      <c r="E90" s="95">
        <f>VLOOKUP(A90,'Balancete 2014'!A:D,4,0)</f>
        <v>-1425</v>
      </c>
      <c r="I90" s="95">
        <v>-1125</v>
      </c>
      <c r="J90" s="99">
        <f t="shared" si="1"/>
        <v>-75</v>
      </c>
    </row>
    <row r="91" spans="1:10">
      <c r="A91" s="92">
        <v>3</v>
      </c>
      <c r="B91" s="93">
        <v>0</v>
      </c>
      <c r="C91" s="93" t="s">
        <v>625</v>
      </c>
      <c r="D91" s="94">
        <v>98361900.319999993</v>
      </c>
      <c r="E91" s="95">
        <f>VLOOKUP(A91,'Balancete 2014'!A:D,4,0)</f>
        <v>74647059.890000001</v>
      </c>
      <c r="I91" s="95">
        <v>50217802.609999999</v>
      </c>
      <c r="J91" s="99">
        <f t="shared" si="1"/>
        <v>23714840.429999992</v>
      </c>
    </row>
    <row r="92" spans="1:10">
      <c r="A92" s="92" t="s">
        <v>626</v>
      </c>
      <c r="B92" s="93">
        <v>0</v>
      </c>
      <c r="C92" s="93" t="s">
        <v>625</v>
      </c>
      <c r="D92" s="94">
        <v>98361900.319999993</v>
      </c>
      <c r="E92" s="95">
        <f>VLOOKUP(A92,'Balancete 2014'!A:D,4,0)</f>
        <v>74647059.890000001</v>
      </c>
      <c r="H92" s="94">
        <f>+D92-D234</f>
        <v>98104668.109999999</v>
      </c>
      <c r="I92" s="95">
        <v>50217802.609999999</v>
      </c>
      <c r="J92" s="99">
        <f t="shared" si="1"/>
        <v>23714840.429999992</v>
      </c>
    </row>
    <row r="93" spans="1:10">
      <c r="A93" s="92" t="s">
        <v>627</v>
      </c>
      <c r="B93" s="93">
        <v>-3</v>
      </c>
      <c r="C93" s="93" t="s">
        <v>628</v>
      </c>
      <c r="D93" s="94">
        <v>98361900.319999993</v>
      </c>
      <c r="E93" s="95">
        <f>VLOOKUP(A93,'Balancete 2014'!A:D,4,0)</f>
        <v>74647059.890000001</v>
      </c>
      <c r="I93" s="95">
        <v>50217802.609999999</v>
      </c>
      <c r="J93" s="99">
        <f t="shared" si="1"/>
        <v>23714840.429999992</v>
      </c>
    </row>
    <row r="94" spans="1:10">
      <c r="A94" s="92" t="s">
        <v>629</v>
      </c>
      <c r="B94" s="93">
        <v>-7</v>
      </c>
      <c r="C94" s="93" t="s">
        <v>630</v>
      </c>
      <c r="D94" s="94">
        <v>98361900.319999993</v>
      </c>
      <c r="E94" s="95">
        <f>VLOOKUP(A94,'Balancete 2014'!A:D,4,0)</f>
        <v>74647059.890000001</v>
      </c>
      <c r="I94" s="95">
        <v>50217802.609999999</v>
      </c>
      <c r="J94" s="99">
        <f t="shared" si="1"/>
        <v>23714840.429999992</v>
      </c>
    </row>
    <row r="95" spans="1:10">
      <c r="A95" s="92" t="s">
        <v>631</v>
      </c>
      <c r="B95" s="93">
        <v>-3</v>
      </c>
      <c r="C95" s="93" t="s">
        <v>630</v>
      </c>
      <c r="D95" s="94">
        <v>98361900.319999993</v>
      </c>
      <c r="E95" s="95">
        <f>VLOOKUP(A95,'Balancete 2014'!A:D,4,0)</f>
        <v>74647059.890000001</v>
      </c>
      <c r="I95" s="95">
        <v>50217802.609999999</v>
      </c>
      <c r="J95" s="99">
        <f t="shared" si="1"/>
        <v>23714840.429999992</v>
      </c>
    </row>
    <row r="96" spans="1:10">
      <c r="A96" s="92" t="s">
        <v>632</v>
      </c>
      <c r="B96" s="93">
        <v>-8</v>
      </c>
      <c r="C96" s="93" t="s">
        <v>633</v>
      </c>
      <c r="D96" s="94">
        <v>42865000</v>
      </c>
      <c r="E96" s="95">
        <f>VLOOKUP(A96,'Balancete 2014'!A:D,4,0)</f>
        <v>35006416.810000002</v>
      </c>
      <c r="I96" s="95">
        <v>26433416.77</v>
      </c>
      <c r="J96" s="99">
        <f t="shared" si="1"/>
        <v>7858583.1899999976</v>
      </c>
    </row>
    <row r="97" spans="1:10">
      <c r="A97" s="92" t="s">
        <v>634</v>
      </c>
      <c r="B97" s="93">
        <v>-6</v>
      </c>
      <c r="C97" s="93" t="s">
        <v>635</v>
      </c>
      <c r="D97" s="94">
        <v>55496900.32</v>
      </c>
      <c r="E97" s="95">
        <f>VLOOKUP(A97,'Balancete 2014'!A:D,4,0)</f>
        <v>39640643.079999998</v>
      </c>
      <c r="I97" s="95">
        <v>23784385.84</v>
      </c>
      <c r="J97" s="99">
        <f t="shared" si="1"/>
        <v>15856257.240000002</v>
      </c>
    </row>
    <row r="98" spans="1:10">
      <c r="A98" s="92">
        <v>8</v>
      </c>
      <c r="B98" s="93">
        <v>-1</v>
      </c>
      <c r="C98" s="93" t="s">
        <v>40</v>
      </c>
      <c r="D98" s="94">
        <v>70986812.579999998</v>
      </c>
      <c r="E98" s="95">
        <f>VLOOKUP(A98,'Balancete 2014'!A:D,4,0)</f>
        <v>246432966.33000001</v>
      </c>
      <c r="I98" s="95">
        <v>236857050.52000001</v>
      </c>
      <c r="J98" s="99">
        <f t="shared" si="1"/>
        <v>-175446153.75</v>
      </c>
    </row>
    <row r="99" spans="1:10">
      <c r="A99" s="92" t="s">
        <v>41</v>
      </c>
      <c r="B99" s="93">
        <v>-9</v>
      </c>
      <c r="C99" s="93" t="s">
        <v>42</v>
      </c>
      <c r="D99" s="94">
        <v>56454960.25</v>
      </c>
      <c r="E99" s="95">
        <f>VLOOKUP(A99,'Balancete 2014'!A:D,4,0)</f>
        <v>208354145.44999999</v>
      </c>
      <c r="I99" s="95">
        <v>219982487.56</v>
      </c>
      <c r="J99" s="99">
        <f t="shared" si="1"/>
        <v>-151899185.19999999</v>
      </c>
    </row>
    <row r="100" spans="1:10">
      <c r="A100" s="92" t="s">
        <v>334</v>
      </c>
      <c r="B100" s="93">
        <v>-8</v>
      </c>
      <c r="C100" s="93" t="s">
        <v>43</v>
      </c>
      <c r="D100" s="94">
        <v>47042340.520000003</v>
      </c>
      <c r="E100" s="95">
        <f>VLOOKUP(A100,'Balancete 2014'!A:D,4,0)</f>
        <v>179937188.61000001</v>
      </c>
      <c r="I100" s="95">
        <v>204216413.84</v>
      </c>
      <c r="J100" s="99">
        <f t="shared" si="1"/>
        <v>-132894848.09</v>
      </c>
    </row>
    <row r="101" spans="1:10">
      <c r="A101" s="92" t="s">
        <v>44</v>
      </c>
      <c r="B101" s="93">
        <v>-5</v>
      </c>
      <c r="C101" s="93" t="s">
        <v>45</v>
      </c>
      <c r="D101" s="94">
        <v>47042340.520000003</v>
      </c>
      <c r="E101" s="95">
        <f>VLOOKUP(A101,'Balancete 2014'!A:D,4,0)</f>
        <v>179937188.61000001</v>
      </c>
      <c r="I101" s="95">
        <v>204216413.84</v>
      </c>
      <c r="J101" s="99">
        <f t="shared" si="1"/>
        <v>-132894848.09</v>
      </c>
    </row>
    <row r="102" spans="1:10">
      <c r="A102" s="92" t="s">
        <v>46</v>
      </c>
      <c r="B102" s="93">
        <v>0</v>
      </c>
      <c r="C102" s="93" t="s">
        <v>47</v>
      </c>
      <c r="D102" s="94">
        <v>47042340.520000003</v>
      </c>
      <c r="E102" s="95">
        <f>VLOOKUP(A102,'Balancete 2014'!A:D,4,0)</f>
        <v>179937188.61000001</v>
      </c>
      <c r="I102" s="95">
        <v>204216413.84</v>
      </c>
      <c r="J102" s="99">
        <f t="shared" si="1"/>
        <v>-132894848.09</v>
      </c>
    </row>
    <row r="103" spans="1:10">
      <c r="A103" s="92" t="s">
        <v>48</v>
      </c>
      <c r="B103" s="93">
        <v>-5</v>
      </c>
      <c r="C103" s="93" t="s">
        <v>894</v>
      </c>
      <c r="D103" s="94">
        <v>26193235.66</v>
      </c>
      <c r="E103" s="95">
        <f>VLOOKUP(A103,'Balancete 2014'!A:D,4,0)</f>
        <v>154639990.65000001</v>
      </c>
      <c r="I103" s="95">
        <v>142361972.31</v>
      </c>
      <c r="J103" s="99">
        <f t="shared" si="1"/>
        <v>-128446754.99000001</v>
      </c>
    </row>
    <row r="104" spans="1:10">
      <c r="A104" s="92" t="s">
        <v>49</v>
      </c>
      <c r="B104" s="93">
        <v>-3</v>
      </c>
      <c r="C104" s="93" t="s">
        <v>895</v>
      </c>
      <c r="D104" s="94">
        <v>11640427.859999999</v>
      </c>
      <c r="E104" s="95">
        <f>VLOOKUP(A104,'Balancete 2014'!A:D,4,0)</f>
        <v>22132358.16</v>
      </c>
      <c r="I104" s="95">
        <v>56911241.530000001</v>
      </c>
      <c r="J104" s="99">
        <f t="shared" si="1"/>
        <v>-10491930.300000001</v>
      </c>
    </row>
    <row r="105" spans="1:10">
      <c r="A105" s="92" t="s">
        <v>50</v>
      </c>
      <c r="B105" s="93">
        <v>-2</v>
      </c>
      <c r="C105" s="93" t="s">
        <v>969</v>
      </c>
      <c r="D105" s="94">
        <v>9208677</v>
      </c>
      <c r="E105" s="95">
        <f>VLOOKUP(A105,'Balancete 2014'!A:D,4,0)</f>
        <v>3164839.8</v>
      </c>
      <c r="I105" s="95">
        <v>4943200</v>
      </c>
      <c r="J105" s="99">
        <f t="shared" si="1"/>
        <v>6043837.2000000002</v>
      </c>
    </row>
    <row r="106" spans="1:10">
      <c r="A106" s="92" t="s">
        <v>51</v>
      </c>
      <c r="B106" s="93">
        <v>-6</v>
      </c>
      <c r="C106" s="93" t="s">
        <v>52</v>
      </c>
      <c r="D106" s="94">
        <v>6423807.6600000001</v>
      </c>
      <c r="E106" s="95">
        <f>VLOOKUP(A106,'Balancete 2014'!A:D,4,0)</f>
        <v>10351422.710000001</v>
      </c>
      <c r="I106" s="95">
        <v>8160087.8700000001</v>
      </c>
      <c r="J106" s="99">
        <f t="shared" si="1"/>
        <v>-3927615.0500000007</v>
      </c>
    </row>
    <row r="107" spans="1:10">
      <c r="A107" s="92" t="s">
        <v>53</v>
      </c>
      <c r="B107" s="93">
        <v>0</v>
      </c>
      <c r="C107" s="93" t="s">
        <v>54</v>
      </c>
      <c r="D107" s="94">
        <v>13201.73</v>
      </c>
      <c r="E107" s="95">
        <f>VLOOKUP(A107,'Balancete 2014'!A:D,4,0)</f>
        <v>14807.52</v>
      </c>
      <c r="I107" s="95">
        <v>14832.89</v>
      </c>
      <c r="J107" s="99">
        <f t="shared" si="1"/>
        <v>-1605.7900000000009</v>
      </c>
    </row>
    <row r="108" spans="1:10">
      <c r="A108" s="92" t="s">
        <v>55</v>
      </c>
      <c r="B108" s="93">
        <v>-1</v>
      </c>
      <c r="C108" s="93" t="s">
        <v>54</v>
      </c>
      <c r="D108" s="94">
        <v>13201.73</v>
      </c>
      <c r="E108" s="95">
        <f>VLOOKUP(A108,'Balancete 2014'!A:D,4,0)</f>
        <v>14807.52</v>
      </c>
      <c r="I108" s="95">
        <v>14832.89</v>
      </c>
      <c r="J108" s="99">
        <f t="shared" si="1"/>
        <v>-1605.7900000000009</v>
      </c>
    </row>
    <row r="109" spans="1:10">
      <c r="A109" s="92" t="s">
        <v>56</v>
      </c>
      <c r="B109" s="93">
        <v>0</v>
      </c>
      <c r="C109" s="93" t="s">
        <v>801</v>
      </c>
      <c r="D109" s="94">
        <v>13201.73</v>
      </c>
      <c r="E109" s="95">
        <f>VLOOKUP(A109,'Balancete 2014'!A:D,4,0)</f>
        <v>14807.52</v>
      </c>
      <c r="I109" s="95">
        <v>14832.89</v>
      </c>
      <c r="J109" s="99">
        <f t="shared" si="1"/>
        <v>-1605.7900000000009</v>
      </c>
    </row>
    <row r="110" spans="1:10">
      <c r="A110" s="92" t="s">
        <v>57</v>
      </c>
      <c r="B110" s="93">
        <v>-3</v>
      </c>
      <c r="C110" s="93" t="s">
        <v>58</v>
      </c>
      <c r="D110" s="94">
        <v>127840.6</v>
      </c>
      <c r="E110" s="95">
        <f>VLOOKUP(A110,'Balancete 2014'!A:D,4,0)</f>
        <v>203163.67</v>
      </c>
      <c r="I110" s="95">
        <v>178085.88</v>
      </c>
      <c r="J110" s="99">
        <f t="shared" si="1"/>
        <v>-75323.070000000007</v>
      </c>
    </row>
    <row r="111" spans="1:10">
      <c r="A111" s="92" t="s">
        <v>59</v>
      </c>
      <c r="B111" s="93">
        <v>-5</v>
      </c>
      <c r="C111" s="93" t="s">
        <v>58</v>
      </c>
      <c r="D111" s="94">
        <v>127840.6</v>
      </c>
      <c r="E111" s="95">
        <f>VLOOKUP(A111,'Balancete 2014'!A:D,4,0)</f>
        <v>203163.67</v>
      </c>
      <c r="I111" s="95">
        <v>178085.88</v>
      </c>
      <c r="J111" s="99">
        <f t="shared" si="1"/>
        <v>-75323.070000000007</v>
      </c>
    </row>
    <row r="112" spans="1:10">
      <c r="A112" s="92" t="s">
        <v>60</v>
      </c>
      <c r="B112" s="93">
        <v>-3</v>
      </c>
      <c r="C112" s="93" t="s">
        <v>58</v>
      </c>
      <c r="D112" s="94">
        <v>127840.6</v>
      </c>
      <c r="E112" s="95">
        <f>VLOOKUP(A112,'Balancete 2014'!A:D,4,0)</f>
        <v>203163.67</v>
      </c>
      <c r="I112" s="95">
        <v>178085.88</v>
      </c>
      <c r="J112" s="99">
        <f t="shared" si="1"/>
        <v>-75323.070000000007</v>
      </c>
    </row>
    <row r="113" spans="1:10">
      <c r="A113" s="92" t="s">
        <v>61</v>
      </c>
      <c r="B113" s="93">
        <v>-6</v>
      </c>
      <c r="C113" s="93" t="s">
        <v>62</v>
      </c>
      <c r="D113" s="94">
        <v>1599392.25</v>
      </c>
      <c r="E113" s="95">
        <f>VLOOKUP(A113,'Balancete 2014'!A:D,4,0)</f>
        <v>2353974.4900000002</v>
      </c>
      <c r="I113" s="95">
        <v>1764837.59</v>
      </c>
      <c r="J113" s="99">
        <f t="shared" si="1"/>
        <v>-754582.24000000022</v>
      </c>
    </row>
    <row r="114" spans="1:10">
      <c r="A114" s="92" t="s">
        <v>63</v>
      </c>
      <c r="B114" s="93">
        <v>-3</v>
      </c>
      <c r="C114" s="93" t="s">
        <v>802</v>
      </c>
      <c r="D114" s="94">
        <v>1599392.25</v>
      </c>
      <c r="E114" s="95">
        <f>VLOOKUP(A114,'Balancete 2014'!A:D,4,0)</f>
        <v>2353974.4900000002</v>
      </c>
      <c r="I114" s="95">
        <v>1764837.59</v>
      </c>
      <c r="J114" s="99">
        <f t="shared" si="1"/>
        <v>-754582.24000000022</v>
      </c>
    </row>
    <row r="115" spans="1:10">
      <c r="A115" s="92" t="s">
        <v>64</v>
      </c>
      <c r="B115" s="93">
        <v>-1</v>
      </c>
      <c r="C115" s="93" t="s">
        <v>803</v>
      </c>
      <c r="D115" s="94">
        <v>1013275.06</v>
      </c>
      <c r="E115" s="95">
        <f>VLOOKUP(A115,'Balancete 2014'!A:D,4,0)</f>
        <v>1688457.37</v>
      </c>
      <c r="I115" s="95">
        <v>1247109.55</v>
      </c>
      <c r="J115" s="99">
        <f t="shared" si="1"/>
        <v>-675182.31</v>
      </c>
    </row>
    <row r="116" spans="1:10">
      <c r="A116" s="92" t="s">
        <v>65</v>
      </c>
      <c r="B116" s="93">
        <v>0</v>
      </c>
      <c r="C116" s="93" t="s">
        <v>804</v>
      </c>
      <c r="D116" s="94">
        <v>96532.88</v>
      </c>
      <c r="E116" s="95">
        <f>VLOOKUP(A116,'Balancete 2014'!A:D,4,0)</f>
        <v>114779.71</v>
      </c>
      <c r="I116" s="95">
        <v>85225.19</v>
      </c>
      <c r="J116" s="99">
        <f t="shared" si="1"/>
        <v>-18246.830000000002</v>
      </c>
    </row>
    <row r="117" spans="1:10">
      <c r="A117" s="92" t="s">
        <v>66</v>
      </c>
      <c r="B117" s="93">
        <v>-8</v>
      </c>
      <c r="C117" s="93" t="s">
        <v>805</v>
      </c>
      <c r="D117" s="94">
        <v>290810.71999999997</v>
      </c>
      <c r="E117" s="95">
        <f>VLOOKUP(A117,'Balancete 2014'!A:D,4,0)</f>
        <v>313339.5</v>
      </c>
      <c r="I117" s="95">
        <v>248070.85</v>
      </c>
      <c r="J117" s="99">
        <f t="shared" si="1"/>
        <v>-22528.780000000028</v>
      </c>
    </row>
    <row r="118" spans="1:10">
      <c r="A118" s="92" t="s">
        <v>67</v>
      </c>
      <c r="B118" s="93">
        <v>-4</v>
      </c>
      <c r="C118" s="93" t="s">
        <v>896</v>
      </c>
      <c r="D118" s="94">
        <v>10562.97</v>
      </c>
      <c r="E118" s="95">
        <f>VLOOKUP(A118,'Balancete 2014'!A:D,4,0)</f>
        <v>143226.23000000001</v>
      </c>
      <c r="I118" s="95">
        <v>49636.160000000003</v>
      </c>
      <c r="J118" s="99">
        <f t="shared" si="1"/>
        <v>-132663.26</v>
      </c>
    </row>
    <row r="119" spans="1:10">
      <c r="A119" s="92" t="s">
        <v>68</v>
      </c>
      <c r="B119" s="93">
        <v>0</v>
      </c>
      <c r="C119" s="93" t="s">
        <v>806</v>
      </c>
      <c r="D119" s="94">
        <v>40246.76</v>
      </c>
      <c r="E119" s="95">
        <f>VLOOKUP(A119,'Balancete 2014'!A:D,4,0)</f>
        <v>34639.360000000001</v>
      </c>
      <c r="I119" s="95">
        <v>30241.439999999999</v>
      </c>
      <c r="J119" s="99">
        <f t="shared" si="1"/>
        <v>5607.4000000000015</v>
      </c>
    </row>
    <row r="120" spans="1:10">
      <c r="A120" s="92" t="s">
        <v>438</v>
      </c>
      <c r="B120" s="93">
        <v>0</v>
      </c>
      <c r="C120" s="93" t="s">
        <v>807</v>
      </c>
      <c r="D120" s="94">
        <v>76274.5</v>
      </c>
      <c r="E120" s="95" t="e">
        <f>VLOOKUP(A120,'Balancete 2014'!A:D,4,0)</f>
        <v>#N/A</v>
      </c>
      <c r="I120" s="95" t="e">
        <v>#N/A</v>
      </c>
      <c r="J120" s="99" t="e">
        <f t="shared" si="1"/>
        <v>#N/A</v>
      </c>
    </row>
    <row r="121" spans="1:10">
      <c r="A121" s="92" t="s">
        <v>440</v>
      </c>
      <c r="B121" s="93">
        <v>-9</v>
      </c>
      <c r="C121" s="93" t="s">
        <v>808</v>
      </c>
      <c r="D121" s="94">
        <v>6101.96</v>
      </c>
      <c r="E121" s="95" t="e">
        <f>VLOOKUP(A121,'Balancete 2014'!A:D,4,0)</f>
        <v>#N/A</v>
      </c>
      <c r="I121" s="95" t="e">
        <v>#N/A</v>
      </c>
      <c r="J121" s="99" t="e">
        <f t="shared" si="1"/>
        <v>#N/A</v>
      </c>
    </row>
    <row r="122" spans="1:10">
      <c r="A122" s="92" t="s">
        <v>442</v>
      </c>
      <c r="B122" s="93">
        <v>-7</v>
      </c>
      <c r="C122" s="93" t="s">
        <v>809</v>
      </c>
      <c r="D122" s="94">
        <v>15254.9</v>
      </c>
      <c r="E122" s="95" t="e">
        <f>VLOOKUP(A122,'Balancete 2014'!A:D,4,0)</f>
        <v>#N/A</v>
      </c>
      <c r="I122" s="95" t="e">
        <v>#N/A</v>
      </c>
      <c r="J122" s="99" t="e">
        <f t="shared" si="1"/>
        <v>#N/A</v>
      </c>
    </row>
    <row r="123" spans="1:10">
      <c r="A123" s="92" t="s">
        <v>444</v>
      </c>
      <c r="B123" s="93">
        <v>-5</v>
      </c>
      <c r="C123" s="93" t="s">
        <v>810</v>
      </c>
      <c r="D123" s="94">
        <v>9152.94</v>
      </c>
      <c r="E123" s="95" t="e">
        <f>VLOOKUP(A123,'Balancete 2014'!A:D,4,0)</f>
        <v>#N/A</v>
      </c>
      <c r="I123" s="95" t="e">
        <v>#N/A</v>
      </c>
      <c r="J123" s="99" t="e">
        <f t="shared" si="1"/>
        <v>#N/A</v>
      </c>
    </row>
    <row r="124" spans="1:10">
      <c r="A124" s="92" t="s">
        <v>69</v>
      </c>
      <c r="B124" s="93">
        <v>-3</v>
      </c>
      <c r="C124" s="93" t="s">
        <v>811</v>
      </c>
      <c r="D124" s="94">
        <v>34755.269999999997</v>
      </c>
      <c r="E124" s="95">
        <f>VLOOKUP(A124,'Balancete 2014'!A:D,4,0)</f>
        <v>30791.21</v>
      </c>
      <c r="I124" s="95">
        <v>74532.259999999995</v>
      </c>
      <c r="J124" s="99">
        <f t="shared" si="1"/>
        <v>3964.0599999999977</v>
      </c>
    </row>
    <row r="125" spans="1:10">
      <c r="A125" s="92" t="s">
        <v>71</v>
      </c>
      <c r="B125" s="93">
        <v>0</v>
      </c>
      <c r="C125" s="93" t="s">
        <v>812</v>
      </c>
      <c r="D125" s="94">
        <v>6424.29</v>
      </c>
      <c r="E125" s="95" t="e">
        <f>VLOOKUP(A125,'Balancete 2014'!A:D,4,0)</f>
        <v>#N/A</v>
      </c>
      <c r="I125" s="95">
        <v>7862.11</v>
      </c>
      <c r="J125" s="99" t="e">
        <f t="shared" si="1"/>
        <v>#N/A</v>
      </c>
    </row>
    <row r="126" spans="1:10">
      <c r="A126" s="92" t="s">
        <v>72</v>
      </c>
      <c r="B126" s="93">
        <v>-8</v>
      </c>
      <c r="C126" s="93" t="s">
        <v>73</v>
      </c>
      <c r="D126" s="94">
        <v>54034.62</v>
      </c>
      <c r="E126" s="95">
        <f>VLOOKUP(A126,'Balancete 2014'!A:D,4,0)</f>
        <v>71545.98</v>
      </c>
      <c r="I126" s="95">
        <v>56070.12</v>
      </c>
      <c r="J126" s="99">
        <f t="shared" si="1"/>
        <v>-17511.359999999993</v>
      </c>
    </row>
    <row r="127" spans="1:10">
      <c r="A127" s="92" t="s">
        <v>74</v>
      </c>
      <c r="B127" s="93">
        <v>0</v>
      </c>
      <c r="C127" s="93" t="s">
        <v>813</v>
      </c>
      <c r="D127" s="94">
        <v>54034.62</v>
      </c>
      <c r="E127" s="95">
        <f>VLOOKUP(A127,'Balancete 2014'!A:D,4,0)</f>
        <v>71545.98</v>
      </c>
      <c r="I127" s="95">
        <v>56070.12</v>
      </c>
      <c r="J127" s="99">
        <f t="shared" si="1"/>
        <v>-17511.359999999993</v>
      </c>
    </row>
    <row r="128" spans="1:10">
      <c r="A128" s="92" t="s">
        <v>76</v>
      </c>
      <c r="B128" s="93">
        <v>-8</v>
      </c>
      <c r="C128" s="93" t="s">
        <v>814</v>
      </c>
      <c r="D128" s="94">
        <v>54034.62</v>
      </c>
      <c r="E128" s="95">
        <f>VLOOKUP(A128,'Balancete 2014'!A:D,4,0)</f>
        <v>71545.98</v>
      </c>
      <c r="I128" s="95">
        <v>56070.12</v>
      </c>
      <c r="J128" s="99">
        <f t="shared" si="1"/>
        <v>-17511.359999999993</v>
      </c>
    </row>
    <row r="129" spans="1:10">
      <c r="A129" s="92" t="s">
        <v>77</v>
      </c>
      <c r="B129" s="93">
        <v>-5</v>
      </c>
      <c r="C129" s="93" t="s">
        <v>78</v>
      </c>
      <c r="D129" s="94">
        <v>412061.85</v>
      </c>
      <c r="E129" s="95">
        <f>VLOOKUP(A129,'Balancete 2014'!A:D,4,0)</f>
        <v>239017.62</v>
      </c>
      <c r="I129" s="95">
        <v>204821.31</v>
      </c>
      <c r="J129" s="99">
        <f t="shared" si="1"/>
        <v>173044.22999999998</v>
      </c>
    </row>
    <row r="130" spans="1:10">
      <c r="A130" s="92" t="s">
        <v>79</v>
      </c>
      <c r="B130" s="93">
        <v>-3</v>
      </c>
      <c r="C130" s="93" t="s">
        <v>78</v>
      </c>
      <c r="D130" s="94">
        <v>412061.85</v>
      </c>
      <c r="E130" s="95">
        <f>VLOOKUP(A130,'Balancete 2014'!A:D,4,0)</f>
        <v>239017.62</v>
      </c>
      <c r="I130" s="95">
        <v>204821.31</v>
      </c>
      <c r="J130" s="99">
        <f t="shared" si="1"/>
        <v>173044.22999999998</v>
      </c>
    </row>
    <row r="131" spans="1:10">
      <c r="A131" s="92" t="s">
        <v>80</v>
      </c>
      <c r="B131" s="93">
        <v>-1</v>
      </c>
      <c r="C131" s="93" t="s">
        <v>897</v>
      </c>
      <c r="D131" s="94">
        <v>10919.66</v>
      </c>
      <c r="E131" s="95">
        <f>VLOOKUP(A131,'Balancete 2014'!A:D,4,0)</f>
        <v>24681.7</v>
      </c>
      <c r="I131" s="95">
        <v>14132.23</v>
      </c>
      <c r="J131" s="99">
        <f t="shared" si="1"/>
        <v>-13762.04</v>
      </c>
    </row>
    <row r="132" spans="1:10">
      <c r="A132" s="92" t="s">
        <v>81</v>
      </c>
      <c r="B132" s="93">
        <v>-8</v>
      </c>
      <c r="C132" s="93" t="s">
        <v>815</v>
      </c>
      <c r="D132" s="94">
        <v>118252.4</v>
      </c>
      <c r="E132" s="95">
        <f>VLOOKUP(A132,'Balancete 2014'!A:D,4,0)</f>
        <v>214442.23999999999</v>
      </c>
      <c r="I132" s="95">
        <v>190689.08</v>
      </c>
      <c r="J132" s="99">
        <f t="shared" si="1"/>
        <v>-96189.84</v>
      </c>
    </row>
    <row r="133" spans="1:10">
      <c r="A133" s="92" t="s">
        <v>898</v>
      </c>
      <c r="B133" s="93">
        <v>-9</v>
      </c>
      <c r="C133" s="93" t="s">
        <v>899</v>
      </c>
      <c r="D133" s="94">
        <v>282889.78999999998</v>
      </c>
      <c r="E133" s="95" t="e">
        <f>VLOOKUP(A133,'Balancete 2014'!A:D,4,0)</f>
        <v>#N/A</v>
      </c>
      <c r="I133" s="95" t="e">
        <v>#N/A</v>
      </c>
      <c r="J133" s="99" t="e">
        <f t="shared" si="1"/>
        <v>#N/A</v>
      </c>
    </row>
    <row r="134" spans="1:10">
      <c r="A134" s="92" t="s">
        <v>82</v>
      </c>
      <c r="B134" s="93">
        <v>-7</v>
      </c>
      <c r="C134" s="93" t="s">
        <v>83</v>
      </c>
      <c r="D134" s="94">
        <v>967584.2</v>
      </c>
      <c r="E134" s="95">
        <f>VLOOKUP(A134,'Balancete 2014'!A:D,4,0)</f>
        <v>1658422.32</v>
      </c>
      <c r="I134" s="95">
        <v>1155929.23</v>
      </c>
      <c r="J134" s="99">
        <f t="shared" si="1"/>
        <v>-690838.12000000011</v>
      </c>
    </row>
    <row r="135" spans="1:10">
      <c r="A135" s="92" t="s">
        <v>84</v>
      </c>
      <c r="B135" s="93">
        <v>-5</v>
      </c>
      <c r="C135" s="93" t="s">
        <v>816</v>
      </c>
      <c r="D135" s="94">
        <v>151078.39000000001</v>
      </c>
      <c r="E135" s="95">
        <f>VLOOKUP(A135,'Balancete 2014'!A:D,4,0)</f>
        <v>302860.93</v>
      </c>
      <c r="I135" s="95">
        <v>226281.58</v>
      </c>
      <c r="J135" s="99">
        <f t="shared" si="1"/>
        <v>-151782.53999999998</v>
      </c>
    </row>
    <row r="136" spans="1:10">
      <c r="A136" s="92" t="s">
        <v>85</v>
      </c>
      <c r="B136" s="93">
        <v>-3</v>
      </c>
      <c r="C136" s="93" t="s">
        <v>817</v>
      </c>
      <c r="D136" s="94">
        <v>140270.57</v>
      </c>
      <c r="E136" s="95">
        <f>VLOOKUP(A136,'Balancete 2014'!A:D,4,0)</f>
        <v>286736.36</v>
      </c>
      <c r="I136" s="95">
        <v>211005.53</v>
      </c>
      <c r="J136" s="99">
        <f t="shared" si="1"/>
        <v>-146465.78999999998</v>
      </c>
    </row>
    <row r="137" spans="1:10">
      <c r="A137" s="92" t="s">
        <v>86</v>
      </c>
      <c r="B137" s="93">
        <v>-1</v>
      </c>
      <c r="C137" s="93" t="s">
        <v>818</v>
      </c>
      <c r="D137" s="94">
        <v>10807.82</v>
      </c>
      <c r="E137" s="95">
        <f>VLOOKUP(A137,'Balancete 2014'!A:D,4,0)</f>
        <v>16124.57</v>
      </c>
      <c r="I137" s="95">
        <v>15276.05</v>
      </c>
      <c r="J137" s="99">
        <f t="shared" si="1"/>
        <v>-5316.75</v>
      </c>
    </row>
    <row r="138" spans="1:10">
      <c r="A138" s="92" t="s">
        <v>87</v>
      </c>
      <c r="B138" s="93">
        <v>-7</v>
      </c>
      <c r="C138" s="93" t="s">
        <v>819</v>
      </c>
      <c r="D138" s="94">
        <v>503314.54</v>
      </c>
      <c r="E138" s="95">
        <f>VLOOKUP(A138,'Balancete 2014'!A:D,4,0)</f>
        <v>931482.37</v>
      </c>
      <c r="I138" s="95">
        <v>674325.37</v>
      </c>
      <c r="J138" s="99">
        <f t="shared" si="1"/>
        <v>-428167.83</v>
      </c>
    </row>
    <row r="139" spans="1:10">
      <c r="A139" s="92" t="s">
        <v>88</v>
      </c>
      <c r="B139" s="93">
        <v>-5</v>
      </c>
      <c r="C139" s="93" t="s">
        <v>820</v>
      </c>
      <c r="D139" s="94">
        <v>503314.54</v>
      </c>
      <c r="E139" s="95">
        <f>VLOOKUP(A139,'Balancete 2014'!A:D,4,0)</f>
        <v>931482.37</v>
      </c>
      <c r="I139" s="95">
        <v>674325.37</v>
      </c>
      <c r="J139" s="99">
        <f t="shared" si="1"/>
        <v>-428167.83</v>
      </c>
    </row>
    <row r="140" spans="1:10">
      <c r="A140" s="92" t="s">
        <v>89</v>
      </c>
      <c r="B140" s="93">
        <v>-2</v>
      </c>
      <c r="C140" s="93" t="s">
        <v>821</v>
      </c>
      <c r="D140" s="94">
        <v>235626.3</v>
      </c>
      <c r="E140" s="95">
        <f>VLOOKUP(A140,'Balancete 2014'!A:D,4,0)</f>
        <v>329456.34999999998</v>
      </c>
      <c r="I140" s="95">
        <v>185737.43</v>
      </c>
      <c r="J140" s="99">
        <f t="shared" si="1"/>
        <v>-93830.049999999988</v>
      </c>
    </row>
    <row r="141" spans="1:10">
      <c r="A141" s="92" t="s">
        <v>637</v>
      </c>
      <c r="B141" s="93">
        <v>0</v>
      </c>
      <c r="C141" s="93" t="s">
        <v>822</v>
      </c>
      <c r="D141" s="94">
        <v>200921.05</v>
      </c>
      <c r="E141" s="95">
        <f>VLOOKUP(A141,'Balancete 2014'!A:D,4,0)</f>
        <v>311269.01</v>
      </c>
      <c r="I141" s="95">
        <v>170688.63</v>
      </c>
      <c r="J141" s="99">
        <f t="shared" si="1"/>
        <v>-110347.96000000002</v>
      </c>
    </row>
    <row r="142" spans="1:10">
      <c r="A142" s="92" t="s">
        <v>90</v>
      </c>
      <c r="B142" s="93">
        <v>-9</v>
      </c>
      <c r="C142" s="93" t="s">
        <v>823</v>
      </c>
      <c r="D142" s="94">
        <v>34705.25</v>
      </c>
      <c r="E142" s="95">
        <f>VLOOKUP(A142,'Balancete 2014'!A:D,4,0)</f>
        <v>18187.34</v>
      </c>
      <c r="I142" s="95">
        <v>15048.8</v>
      </c>
      <c r="J142" s="99">
        <f t="shared" si="1"/>
        <v>16517.91</v>
      </c>
    </row>
    <row r="143" spans="1:10">
      <c r="A143" s="92" t="s">
        <v>91</v>
      </c>
      <c r="B143" s="93">
        <v>0</v>
      </c>
      <c r="C143" s="93" t="s">
        <v>824</v>
      </c>
      <c r="D143" s="94">
        <v>77564.97</v>
      </c>
      <c r="E143" s="95">
        <f>VLOOKUP(A143,'Balancete 2014'!A:D,4,0)</f>
        <v>94622.67</v>
      </c>
      <c r="I143" s="95">
        <v>69584.850000000006</v>
      </c>
      <c r="J143" s="99">
        <f t="shared" si="1"/>
        <v>-17057.699999999997</v>
      </c>
    </row>
    <row r="144" spans="1:10">
      <c r="A144" s="92" t="s">
        <v>92</v>
      </c>
      <c r="B144" s="93">
        <v>-9</v>
      </c>
      <c r="C144" s="93" t="s">
        <v>825</v>
      </c>
      <c r="D144" s="94">
        <v>77564.97</v>
      </c>
      <c r="E144" s="95">
        <f>VLOOKUP(A144,'Balancete 2014'!A:D,4,0)</f>
        <v>94622.67</v>
      </c>
      <c r="I144" s="95">
        <v>69584.850000000006</v>
      </c>
      <c r="J144" s="99">
        <f t="shared" si="1"/>
        <v>-17057.699999999997</v>
      </c>
    </row>
    <row r="145" spans="1:10">
      <c r="A145" s="92" t="s">
        <v>93</v>
      </c>
      <c r="B145" s="93">
        <v>0</v>
      </c>
      <c r="C145" s="93" t="s">
        <v>94</v>
      </c>
      <c r="D145" s="94">
        <v>2172053.0699999998</v>
      </c>
      <c r="E145" s="95">
        <f>VLOOKUP(A145,'Balancete 2014'!A:D,4,0)</f>
        <v>3442611.36</v>
      </c>
      <c r="I145" s="95">
        <v>2820690.97</v>
      </c>
      <c r="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 <v>94</v>
      </c>
      <c r="D146" s="94">
        <v>2172053.0699999998</v>
      </c>
      <c r="E146" s="95">
        <f>VLOOKUP(A146,'Balancete 2014'!A:D,4,0)</f>
        <v>3442611.36</v>
      </c>
      <c r="I146" s="95">
        <v>2820690.97</v>
      </c>
      <c r="J146" s="99">
        <f t="shared" si="1"/>
        <v>-1270558.29</v>
      </c>
    </row>
    <row r="147" spans="1:10">
      <c r="A147" s="92" t="s">
        <v>96</v>
      </c>
      <c r="B147" s="93">
        <v>0</v>
      </c>
      <c r="C147" s="93" t="s">
        <v>826</v>
      </c>
      <c r="D147" s="94">
        <v>523497.4</v>
      </c>
      <c r="E147" s="95">
        <f>VLOOKUP(A147,'Balancete 2014'!A:D,4,0)</f>
        <v>865877.22</v>
      </c>
      <c r="I147" s="95">
        <v>702775.2</v>
      </c>
      <c r="J147" s="99">
        <f t="shared" ref="J147:J210" si="2">+D147-E147</f>
        <v>-342379.81999999995</v>
      </c>
    </row>
    <row r="148" spans="1:10">
      <c r="A148" s="92" t="s">
        <v>97</v>
      </c>
      <c r="B148" s="93">
        <v>-9</v>
      </c>
      <c r="C148" s="93" t="s">
        <v>827</v>
      </c>
      <c r="D148" s="94">
        <v>728397.45</v>
      </c>
      <c r="E148" s="95">
        <f>VLOOKUP(A148,'Balancete 2014'!A:D,4,0)</f>
        <v>1103577.68</v>
      </c>
      <c r="I148" s="95">
        <v>879066.62</v>
      </c>
      <c r="J148" s="99">
        <f t="shared" si="2"/>
        <v>-375180.23</v>
      </c>
    </row>
    <row r="149" spans="1:10">
      <c r="A149" s="92" t="s">
        <v>98</v>
      </c>
      <c r="B149" s="93">
        <v>-7</v>
      </c>
      <c r="C149" s="93" t="s">
        <v>900</v>
      </c>
      <c r="D149" s="94">
        <v>15614.23</v>
      </c>
      <c r="E149" s="95">
        <f>VLOOKUP(A149,'Balancete 2014'!A:D,4,0)</f>
        <v>79125.73</v>
      </c>
      <c r="I149" s="95">
        <v>31305.88</v>
      </c>
      <c r="J149" s="99">
        <f t="shared" si="2"/>
        <v>-63511.5</v>
      </c>
    </row>
    <row r="150" spans="1:10">
      <c r="A150" s="92" t="s">
        <v>99</v>
      </c>
      <c r="B150" s="93">
        <v>-5</v>
      </c>
      <c r="C150" s="93" t="s">
        <v>901</v>
      </c>
      <c r="D150" s="94">
        <v>35538.35</v>
      </c>
      <c r="E150" s="95">
        <f>VLOOKUP(A150,'Balancete 2014'!A:D,4,0)</f>
        <v>65240.13</v>
      </c>
      <c r="I150" s="95">
        <v>68286.39</v>
      </c>
      <c r="J150" s="99">
        <f t="shared" si="2"/>
        <v>-29701.78</v>
      </c>
    </row>
    <row r="151" spans="1:10">
      <c r="A151" s="92" t="s">
        <v>100</v>
      </c>
      <c r="B151" s="93">
        <v>-1</v>
      </c>
      <c r="C151" s="93" t="s">
        <v>828</v>
      </c>
      <c r="D151" s="94">
        <v>415790.43</v>
      </c>
      <c r="E151" s="95">
        <f>VLOOKUP(A151,'Balancete 2014'!A:D,4,0)</f>
        <v>611912.44999999995</v>
      </c>
      <c r="I151" s="95">
        <v>522172.44</v>
      </c>
      <c r="J151" s="99">
        <f t="shared" si="2"/>
        <v>-196122.01999999996</v>
      </c>
    </row>
    <row r="152" spans="1:10">
      <c r="A152" s="92" t="s">
        <v>101</v>
      </c>
      <c r="B152" s="93">
        <v>-8</v>
      </c>
      <c r="C152" s="93" t="s">
        <v>829</v>
      </c>
      <c r="D152" s="94">
        <v>22696.45</v>
      </c>
      <c r="E152" s="95">
        <f>VLOOKUP(A152,'Balancete 2014'!A:D,4,0)</f>
        <v>37505.410000000003</v>
      </c>
      <c r="I152" s="95">
        <v>32079.599999999999</v>
      </c>
      <c r="J152" s="99">
        <f t="shared" si="2"/>
        <v>-14808.960000000003</v>
      </c>
    </row>
    <row r="153" spans="1:10">
      <c r="A153" s="92" t="s">
        <v>102</v>
      </c>
      <c r="B153" s="93">
        <v>-4</v>
      </c>
      <c r="C153" s="93" t="s">
        <v>830</v>
      </c>
      <c r="D153" s="94">
        <v>135098.03</v>
      </c>
      <c r="E153" s="95">
        <f>VLOOKUP(A153,'Balancete 2014'!A:D,4,0)</f>
        <v>223246.51</v>
      </c>
      <c r="I153" s="95">
        <v>190950.32</v>
      </c>
      <c r="J153" s="99">
        <f t="shared" si="2"/>
        <v>-88148.48000000001</v>
      </c>
    </row>
    <row r="154" spans="1:10">
      <c r="A154" s="92" t="s">
        <v>103</v>
      </c>
      <c r="B154" s="93">
        <v>-2</v>
      </c>
      <c r="C154" s="93" t="s">
        <v>831</v>
      </c>
      <c r="D154" s="94">
        <v>245338.02</v>
      </c>
      <c r="E154" s="95">
        <f>VLOOKUP(A154,'Balancete 2014'!A:D,4,0)</f>
        <v>412820.2</v>
      </c>
      <c r="I154" s="95">
        <v>346665.82</v>
      </c>
      <c r="J154" s="99">
        <f t="shared" si="2"/>
        <v>-167482.18000000002</v>
      </c>
    </row>
    <row r="155" spans="1:10">
      <c r="A155" s="92" t="s">
        <v>104</v>
      </c>
      <c r="B155" s="93">
        <v>0</v>
      </c>
      <c r="C155" s="93" t="s">
        <v>902</v>
      </c>
      <c r="D155" s="94">
        <v>24414.07</v>
      </c>
      <c r="E155" s="95">
        <f>VLOOKUP(A155,'Balancete 2014'!A:D,4,0)</f>
        <v>43155.78</v>
      </c>
      <c r="I155" s="95">
        <v>47342.11</v>
      </c>
      <c r="J155" s="99">
        <f t="shared" si="2"/>
        <v>-18741.71</v>
      </c>
    </row>
    <row r="156" spans="1:10">
      <c r="A156" s="92" t="s">
        <v>105</v>
      </c>
      <c r="B156" s="93">
        <v>-9</v>
      </c>
      <c r="C156" s="93" t="s">
        <v>903</v>
      </c>
      <c r="D156" s="94">
        <v>16.64</v>
      </c>
      <c r="E156" s="95">
        <f>VLOOKUP(A156,'Balancete 2014'!A:D,4,0)</f>
        <v>113.72</v>
      </c>
      <c r="I156" s="95">
        <v>46.59</v>
      </c>
      <c r="J156" s="99">
        <f t="shared" si="2"/>
        <v>-97.08</v>
      </c>
    </row>
    <row r="157" spans="1:10">
      <c r="A157" s="92" t="s">
        <v>475</v>
      </c>
      <c r="B157" s="93">
        <v>-1</v>
      </c>
      <c r="C157" s="93" t="s">
        <v>904</v>
      </c>
      <c r="D157" s="94">
        <v>25652</v>
      </c>
      <c r="E157" s="95">
        <f>VLOOKUP(A157,'Balancete 2014'!A:D,4,0)</f>
        <v>36.53</v>
      </c>
      <c r="I157" s="95" t="e">
        <v>#N/A</v>
      </c>
      <c r="J157" s="99">
        <f t="shared" si="2"/>
        <v>25615.47</v>
      </c>
    </row>
    <row r="158" spans="1:10">
      <c r="A158" s="92" t="s">
        <v>754</v>
      </c>
      <c r="B158" s="93">
        <v>-6</v>
      </c>
      <c r="C158" s="93" t="s">
        <v>832</v>
      </c>
      <c r="D158" s="94">
        <v>23405.16</v>
      </c>
      <c r="E158" s="95" t="e">
        <f>VLOOKUP(A158,'Balancete 2014'!A:D,4,0)</f>
        <v>#N/A</v>
      </c>
      <c r="I158" s="95" t="e">
        <v>#N/A</v>
      </c>
      <c r="J158" s="99" t="e">
        <f t="shared" si="2"/>
        <v>#N/A</v>
      </c>
    </row>
    <row r="159" spans="1:10">
      <c r="A159" s="92" t="s">
        <v>755</v>
      </c>
      <c r="B159" s="93">
        <v>-1</v>
      </c>
      <c r="C159" s="93" t="s">
        <v>832</v>
      </c>
      <c r="D159" s="94">
        <v>23405.16</v>
      </c>
      <c r="E159" s="95" t="e">
        <f>VLOOKUP(A159,'Balancete 2014'!A:D,4,0)</f>
        <v>#N/A</v>
      </c>
      <c r="I159" s="95" t="e">
        <v>#N/A</v>
      </c>
      <c r="J159" s="99" t="e">
        <f t="shared" si="2"/>
        <v>#N/A</v>
      </c>
    </row>
    <row r="160" spans="1:10">
      <c r="A160" s="92" t="s">
        <v>756</v>
      </c>
      <c r="B160" s="93">
        <v>0</v>
      </c>
      <c r="C160" s="93" t="s">
        <v>789</v>
      </c>
      <c r="D160" s="94">
        <v>23405.16</v>
      </c>
      <c r="E160" s="95" t="e">
        <f>VLOOKUP(A160,'Balancete 2014'!A:D,4,0)</f>
        <v>#N/A</v>
      </c>
      <c r="I160" s="95" t="e">
        <v>#N/A</v>
      </c>
      <c r="J160" s="99" t="e">
        <f t="shared" si="2"/>
        <v>#N/A</v>
      </c>
    </row>
    <row r="161" spans="1:10">
      <c r="A161" s="92" t="s">
        <v>106</v>
      </c>
      <c r="B161" s="93">
        <v>-8</v>
      </c>
      <c r="C161" s="93" t="s">
        <v>107</v>
      </c>
      <c r="D161" s="94">
        <v>17349.18</v>
      </c>
      <c r="E161" s="95">
        <f>VLOOKUP(A161,'Balancete 2014'!A:D,4,0)</f>
        <v>20495.25</v>
      </c>
      <c r="I161" s="95">
        <v>20972.880000000001</v>
      </c>
      <c r="J161" s="99">
        <f t="shared" si="2"/>
        <v>-3146.0699999999997</v>
      </c>
    </row>
    <row r="162" spans="1:10">
      <c r="A162" s="92" t="s">
        <v>108</v>
      </c>
      <c r="B162" s="93">
        <v>0</v>
      </c>
      <c r="C162" s="93" t="s">
        <v>833</v>
      </c>
      <c r="D162" s="94">
        <v>17349.18</v>
      </c>
      <c r="E162" s="95">
        <f>VLOOKUP(A162,'Balancete 2014'!A:D,4,0)</f>
        <v>20495.25</v>
      </c>
      <c r="I162" s="95">
        <v>20972.880000000001</v>
      </c>
      <c r="J162" s="99">
        <f t="shared" si="2"/>
        <v>-3146.0699999999997</v>
      </c>
    </row>
    <row r="163" spans="1:10">
      <c r="A163" s="92" t="s">
        <v>109</v>
      </c>
      <c r="B163" s="93">
        <v>-8</v>
      </c>
      <c r="C163" s="93" t="s">
        <v>834</v>
      </c>
      <c r="D163" s="94">
        <v>17349.18</v>
      </c>
      <c r="E163" s="95">
        <f>VLOOKUP(A163,'Balancete 2014'!A:D,4,0)</f>
        <v>20495.25</v>
      </c>
      <c r="I163" s="95">
        <v>20972.880000000001</v>
      </c>
      <c r="J163" s="99">
        <f t="shared" si="2"/>
        <v>-3146.0699999999997</v>
      </c>
    </row>
    <row r="164" spans="1:10">
      <c r="A164" s="92" t="s">
        <v>110</v>
      </c>
      <c r="B164" s="93">
        <v>-1</v>
      </c>
      <c r="C164" s="93" t="s">
        <v>111</v>
      </c>
      <c r="D164" s="94">
        <v>860322.27</v>
      </c>
      <c r="E164" s="95">
        <f>VLOOKUP(A164,'Balancete 2014'!A:D,4,0)</f>
        <v>1584800</v>
      </c>
      <c r="I164" s="95">
        <v>1213000</v>
      </c>
      <c r="J164" s="99">
        <f t="shared" si="2"/>
        <v>-724477.73</v>
      </c>
    </row>
    <row r="165" spans="1:10">
      <c r="A165" s="92" t="s">
        <v>112</v>
      </c>
      <c r="B165" s="93">
        <v>-2</v>
      </c>
      <c r="C165" s="93" t="s">
        <v>905</v>
      </c>
      <c r="D165" s="94">
        <v>860322.27</v>
      </c>
      <c r="E165" s="95">
        <f>VLOOKUP(A165,'Balancete 2014'!A:D,4,0)</f>
        <v>1584800</v>
      </c>
      <c r="I165" s="95">
        <v>1213000</v>
      </c>
      <c r="J165" s="99">
        <f t="shared" si="2"/>
        <v>-724477.73</v>
      </c>
    </row>
    <row r="166" spans="1:10">
      <c r="A166" s="92" t="s">
        <v>113</v>
      </c>
      <c r="B166" s="93">
        <v>0</v>
      </c>
      <c r="C166" s="93" t="s">
        <v>906</v>
      </c>
      <c r="D166" s="94">
        <v>515167</v>
      </c>
      <c r="E166" s="95">
        <f>VLOOKUP(A166,'Balancete 2014'!A:D,4,0)</f>
        <v>1584800</v>
      </c>
      <c r="I166" s="95">
        <v>1213000</v>
      </c>
      <c r="J166" s="99">
        <f t="shared" si="2"/>
        <v>-1069633</v>
      </c>
    </row>
    <row r="167" spans="1:10">
      <c r="A167" s="92" t="s">
        <v>757</v>
      </c>
      <c r="B167" s="93">
        <v>-9</v>
      </c>
      <c r="C167" s="93" t="s">
        <v>907</v>
      </c>
      <c r="D167" s="94">
        <v>345155.27</v>
      </c>
      <c r="E167" s="95" t="e">
        <f>VLOOKUP(A167,'Balancete 2014'!A:D,4,0)</f>
        <v>#N/A</v>
      </c>
      <c r="I167" s="95" t="e">
        <v>#N/A</v>
      </c>
      <c r="J167" s="99" t="e">
        <f t="shared" si="2"/>
        <v>#N/A</v>
      </c>
    </row>
    <row r="168" spans="1:10">
      <c r="A168" s="92" t="s">
        <v>114</v>
      </c>
      <c r="B168" s="93">
        <v>-9</v>
      </c>
      <c r="C168" s="93" t="s">
        <v>115</v>
      </c>
      <c r="D168" s="94">
        <v>204.8</v>
      </c>
      <c r="E168" s="95">
        <f>VLOOKUP(A168,'Balancete 2014'!A:D,4,0)</f>
        <v>607533.81999999995</v>
      </c>
      <c r="I168" s="95">
        <v>6374.6</v>
      </c>
      <c r="J168" s="99">
        <f t="shared" si="2"/>
        <v>-607329.0199999999</v>
      </c>
    </row>
    <row r="169" spans="1:10">
      <c r="A169" s="92" t="s">
        <v>116</v>
      </c>
      <c r="B169" s="93">
        <v>0</v>
      </c>
      <c r="C169" s="93" t="s">
        <v>115</v>
      </c>
      <c r="D169" s="94">
        <v>204.8</v>
      </c>
      <c r="E169" s="95">
        <f>VLOOKUP(A169,'Balancete 2014'!A:D,4,0)</f>
        <v>607533.81999999995</v>
      </c>
      <c r="I169" s="95">
        <v>6374.6</v>
      </c>
      <c r="J169" s="99">
        <f t="shared" si="2"/>
        <v>-607329.0199999999</v>
      </c>
    </row>
    <row r="170" spans="1:10">
      <c r="A170" s="92" t="s">
        <v>117</v>
      </c>
      <c r="B170" s="93">
        <v>-6</v>
      </c>
      <c r="C170" s="93" t="s">
        <v>678</v>
      </c>
      <c r="D170" s="94">
        <v>204.8</v>
      </c>
      <c r="E170" s="95">
        <f>VLOOKUP(A170,'Balancete 2014'!A:D,4,0)</f>
        <v>607533.81999999995</v>
      </c>
      <c r="I170" s="95">
        <v>6374.6</v>
      </c>
      <c r="J170" s="99">
        <f t="shared" si="2"/>
        <v>-607329.0199999999</v>
      </c>
    </row>
    <row r="171" spans="1:10">
      <c r="A171" s="92" t="s">
        <v>122</v>
      </c>
      <c r="B171" s="93">
        <v>0</v>
      </c>
      <c r="C171" s="93" t="s">
        <v>123</v>
      </c>
      <c r="D171" s="94">
        <v>176357.93</v>
      </c>
      <c r="E171" s="95">
        <f>VLOOKUP(A171,'Balancete 2014'!A:D,4,0)</f>
        <v>116481.54</v>
      </c>
      <c r="I171" s="95">
        <v>550792.53</v>
      </c>
      <c r="J171" s="99">
        <f t="shared" si="2"/>
        <v>59876.39</v>
      </c>
    </row>
    <row r="172" spans="1:10">
      <c r="A172" s="92" t="s">
        <v>124</v>
      </c>
      <c r="B172" s="93">
        <v>-7</v>
      </c>
      <c r="C172" s="93" t="s">
        <v>835</v>
      </c>
      <c r="D172" s="94">
        <v>176357.93</v>
      </c>
      <c r="E172" s="95">
        <f>VLOOKUP(A172,'Balancete 2014'!A:D,4,0)</f>
        <v>116481.54</v>
      </c>
      <c r="I172" s="95">
        <v>550792.53</v>
      </c>
      <c r="J172" s="99">
        <f t="shared" si="2"/>
        <v>59876.39</v>
      </c>
    </row>
    <row r="173" spans="1:10">
      <c r="A173" s="92" t="s">
        <v>125</v>
      </c>
      <c r="B173" s="93">
        <v>-6</v>
      </c>
      <c r="C173" s="93" t="s">
        <v>123</v>
      </c>
      <c r="D173" s="94">
        <v>176357.93</v>
      </c>
      <c r="E173" s="95">
        <f>VLOOKUP(A173,'Balancete 2014'!A:D,4,0)</f>
        <v>101471.54</v>
      </c>
      <c r="I173" s="95">
        <v>550752.53</v>
      </c>
      <c r="J173" s="99">
        <f t="shared" si="2"/>
        <v>74886.39</v>
      </c>
    </row>
    <row r="174" spans="1:10">
      <c r="A174" s="92" t="s">
        <v>337</v>
      </c>
      <c r="B174" s="93">
        <v>-2</v>
      </c>
      <c r="C174" s="93" t="s">
        <v>132</v>
      </c>
      <c r="D174" s="94">
        <v>2988812.07</v>
      </c>
      <c r="E174" s="95">
        <f>VLOOKUP(A174,'Balancete 2014'!A:D,4,0)</f>
        <v>18065234.129999999</v>
      </c>
      <c r="I174" s="95">
        <v>7605685.8499999996</v>
      </c>
      <c r="J174" s="99">
        <f t="shared" si="2"/>
        <v>-15076422.059999999</v>
      </c>
    </row>
    <row r="175" spans="1:10">
      <c r="A175" s="92" t="s">
        <v>133</v>
      </c>
      <c r="B175" s="93">
        <v>-3</v>
      </c>
      <c r="C175" s="93" t="s">
        <v>134</v>
      </c>
      <c r="D175" s="94">
        <v>2185606.1800000002</v>
      </c>
      <c r="E175" s="95">
        <f>VLOOKUP(A175,'Balancete 2014'!A:D,4,0)</f>
        <v>5526413.9000000004</v>
      </c>
      <c r="I175" s="95">
        <v>2988573.51</v>
      </c>
      <c r="J175" s="99">
        <f t="shared" si="2"/>
        <v>-3340807.72</v>
      </c>
    </row>
    <row r="176" spans="1:10">
      <c r="A176" s="92" t="s">
        <v>135</v>
      </c>
      <c r="B176" s="93">
        <v>-5</v>
      </c>
      <c r="C176" s="93" t="s">
        <v>134</v>
      </c>
      <c r="D176" s="94">
        <v>2185606.1800000002</v>
      </c>
      <c r="E176" s="95">
        <f>VLOOKUP(A176,'Balancete 2014'!A:D,4,0)</f>
        <v>5449581.4500000002</v>
      </c>
      <c r="I176" s="95">
        <v>2988573.51</v>
      </c>
      <c r="J176" s="99">
        <f t="shared" si="2"/>
        <v>-3263975.27</v>
      </c>
    </row>
    <row r="177" spans="1:10">
      <c r="A177" s="92" t="s">
        <v>136</v>
      </c>
      <c r="B177" s="93">
        <v>-3</v>
      </c>
      <c r="C177" s="93" t="s">
        <v>134</v>
      </c>
      <c r="D177" s="94">
        <v>2185606.1800000002</v>
      </c>
      <c r="E177" s="95">
        <f>VLOOKUP(A177,'Balancete 2014'!A:D,4,0)</f>
        <v>5449581.4500000002</v>
      </c>
      <c r="I177" s="95">
        <v>2988573.51</v>
      </c>
      <c r="J177" s="99">
        <f t="shared" si="2"/>
        <v>-3263975.27</v>
      </c>
    </row>
    <row r="178" spans="1:10">
      <c r="A178" s="92" t="s">
        <v>137</v>
      </c>
      <c r="B178" s="93">
        <v>-7</v>
      </c>
      <c r="C178" s="93" t="s">
        <v>138</v>
      </c>
      <c r="D178" s="94">
        <v>366669.87</v>
      </c>
      <c r="E178" s="95">
        <f>VLOOKUP(A178,'Balancete 2014'!A:D,4,0)</f>
        <v>1199813.55</v>
      </c>
      <c r="I178" s="95">
        <v>648835.05000000005</v>
      </c>
      <c r="J178" s="99">
        <f t="shared" si="2"/>
        <v>-833143.68</v>
      </c>
    </row>
    <row r="179" spans="1:10">
      <c r="A179" s="92" t="s">
        <v>139</v>
      </c>
      <c r="B179" s="93">
        <v>-9</v>
      </c>
      <c r="C179" s="93" t="s">
        <v>138</v>
      </c>
      <c r="D179" s="94">
        <v>366669.87</v>
      </c>
      <c r="E179" s="95">
        <f>VLOOKUP(A179,'Balancete 2014'!A:D,4,0)</f>
        <v>1183132.82</v>
      </c>
      <c r="I179" s="95">
        <v>648835.05000000005</v>
      </c>
      <c r="J179" s="99">
        <f t="shared" si="2"/>
        <v>-816462.95000000007</v>
      </c>
    </row>
    <row r="180" spans="1:10">
      <c r="A180" s="92" t="s">
        <v>140</v>
      </c>
      <c r="B180" s="93">
        <v>-7</v>
      </c>
      <c r="C180" s="93" t="s">
        <v>836</v>
      </c>
      <c r="D180" s="94">
        <v>366669.87</v>
      </c>
      <c r="E180" s="95">
        <f>VLOOKUP(A180,'Balancete 2014'!A:D,4,0)</f>
        <v>1183132.82</v>
      </c>
      <c r="I180" s="95">
        <v>648835.05000000005</v>
      </c>
      <c r="J180" s="99">
        <f t="shared" si="2"/>
        <v>-816462.95000000007</v>
      </c>
    </row>
    <row r="181" spans="1:10">
      <c r="A181" s="92" t="s">
        <v>141</v>
      </c>
      <c r="B181" s="93">
        <v>-6</v>
      </c>
      <c r="C181" s="93" t="s">
        <v>132</v>
      </c>
      <c r="D181" s="94">
        <v>436536.02</v>
      </c>
      <c r="E181" s="95">
        <f>VLOOKUP(A181,'Balancete 2014'!A:D,4,0)</f>
        <v>11339006.68</v>
      </c>
      <c r="I181" s="95">
        <v>3968277.29</v>
      </c>
      <c r="J181" s="99">
        <f t="shared" si="2"/>
        <v>-10902470.66</v>
      </c>
    </row>
    <row r="182" spans="1:10">
      <c r="A182" s="92" t="s">
        <v>142</v>
      </c>
      <c r="B182" s="93">
        <v>-3</v>
      </c>
      <c r="C182" s="93" t="s">
        <v>132</v>
      </c>
      <c r="D182" s="94">
        <v>436536.02</v>
      </c>
      <c r="E182" s="95">
        <f>VLOOKUP(A182,'Balancete 2014'!A:D,4,0)</f>
        <v>11339006.68</v>
      </c>
      <c r="I182" s="95">
        <v>3968277.29</v>
      </c>
      <c r="J182" s="99">
        <f t="shared" si="2"/>
        <v>-10902470.66</v>
      </c>
    </row>
    <row r="183" spans="1:10">
      <c r="A183" s="92" t="s">
        <v>144</v>
      </c>
      <c r="B183" s="93">
        <v>-1</v>
      </c>
      <c r="C183" s="93" t="s">
        <v>837</v>
      </c>
      <c r="D183" s="94">
        <v>538.94000000000005</v>
      </c>
      <c r="E183" s="95">
        <f>VLOOKUP(A183,'Balancete 2014'!A:D,4,0)</f>
        <v>547.33000000000004</v>
      </c>
      <c r="I183" s="95">
        <v>128.22</v>
      </c>
      <c r="J183" s="99">
        <f t="shared" si="2"/>
        <v>-8.3899999999999864</v>
      </c>
    </row>
    <row r="184" spans="1:10">
      <c r="A184" s="92" t="s">
        <v>146</v>
      </c>
      <c r="B184" s="93">
        <v>-4</v>
      </c>
      <c r="C184" s="93" t="s">
        <v>838</v>
      </c>
      <c r="D184" s="94">
        <v>435997.08</v>
      </c>
      <c r="E184" s="95">
        <f>VLOOKUP(A184,'Balancete 2014'!A:D,4,0)</f>
        <v>921432.36</v>
      </c>
      <c r="I184" s="95">
        <v>921432.36</v>
      </c>
      <c r="J184" s="99">
        <f t="shared" si="2"/>
        <v>-485435.27999999997</v>
      </c>
    </row>
    <row r="185" spans="1:10">
      <c r="A185" s="92" t="s">
        <v>147</v>
      </c>
      <c r="B185" s="93">
        <v>-7</v>
      </c>
      <c r="C185" s="93" t="s">
        <v>148</v>
      </c>
      <c r="D185" s="94">
        <v>14531852.33</v>
      </c>
      <c r="E185" s="95">
        <f>VLOOKUP(A185,'Balancete 2014'!A:D,4,0)</f>
        <v>38078820.880000003</v>
      </c>
      <c r="I185" s="95">
        <v>16874562.960000001</v>
      </c>
      <c r="J185" s="99">
        <f t="shared" si="2"/>
        <v>-23546968.550000004</v>
      </c>
    </row>
    <row r="186" spans="1:10">
      <c r="A186" s="92" t="s">
        <v>149</v>
      </c>
      <c r="B186" s="93">
        <v>0</v>
      </c>
      <c r="C186" s="93" t="s">
        <v>150</v>
      </c>
      <c r="D186" s="94">
        <v>14531852.33</v>
      </c>
      <c r="E186" s="95">
        <f>VLOOKUP(A186,'Balancete 2014'!A:D,4,0)</f>
        <v>38078820.880000003</v>
      </c>
      <c r="I186" s="95">
        <v>16874562.960000001</v>
      </c>
      <c r="J186" s="99">
        <f t="shared" si="2"/>
        <v>-23546968.550000004</v>
      </c>
    </row>
    <row r="187" spans="1:10">
      <c r="A187" s="92" t="s">
        <v>151</v>
      </c>
      <c r="B187" s="93">
        <v>-3</v>
      </c>
      <c r="C187" s="93" t="s">
        <v>150</v>
      </c>
      <c r="D187" s="94">
        <v>10682009.07</v>
      </c>
      <c r="E187" s="95">
        <f>VLOOKUP(A187,'Balancete 2014'!A:D,4,0)</f>
        <v>27993038.469999999</v>
      </c>
      <c r="I187" s="95">
        <v>12401434.48</v>
      </c>
      <c r="J187" s="99">
        <f t="shared" si="2"/>
        <v>-17311029.399999999</v>
      </c>
    </row>
    <row r="188" spans="1:10">
      <c r="A188" s="92" t="s">
        <v>341</v>
      </c>
      <c r="B188" s="93">
        <v>-5</v>
      </c>
      <c r="C188" s="93" t="s">
        <v>150</v>
      </c>
      <c r="D188" s="94">
        <v>10683615.140000001</v>
      </c>
      <c r="E188" s="95">
        <f>VLOOKUP(A188,'Balancete 2014'!A:D,4,0)</f>
        <v>27770863.710000001</v>
      </c>
      <c r="I188" s="95">
        <v>12406228.140000001</v>
      </c>
      <c r="J188" s="99">
        <f t="shared" si="2"/>
        <v>-17087248.57</v>
      </c>
    </row>
    <row r="189" spans="1:10">
      <c r="A189" s="92" t="s">
        <v>152</v>
      </c>
      <c r="B189" s="93">
        <v>-3</v>
      </c>
      <c r="C189" s="93" t="s">
        <v>150</v>
      </c>
      <c r="D189" s="94">
        <v>10683615.140000001</v>
      </c>
      <c r="E189" s="95">
        <f>VLOOKUP(A189,'Balancete 2014'!A:D,4,0)</f>
        <v>27770863.710000001</v>
      </c>
      <c r="I189" s="95">
        <v>12406228.140000001</v>
      </c>
      <c r="J189" s="99">
        <f t="shared" si="2"/>
        <v>-17087248.57</v>
      </c>
    </row>
    <row r="190" spans="1:10">
      <c r="A190" s="92" t="s">
        <v>153</v>
      </c>
      <c r="B190" s="93">
        <v>-6</v>
      </c>
      <c r="C190" s="93" t="s">
        <v>839</v>
      </c>
      <c r="D190" s="94">
        <v>-1606.07</v>
      </c>
      <c r="E190" s="95">
        <f>VLOOKUP(A190,'Balancete 2014'!A:D,4,0)</f>
        <v>-7185.28</v>
      </c>
      <c r="I190" s="95">
        <v>-4793.66</v>
      </c>
      <c r="J190" s="99">
        <f t="shared" si="2"/>
        <v>5579.21</v>
      </c>
    </row>
    <row r="191" spans="1:10">
      <c r="A191" s="92" t="s">
        <v>343</v>
      </c>
      <c r="B191" s="93">
        <v>-4</v>
      </c>
      <c r="C191" s="93" t="s">
        <v>840</v>
      </c>
      <c r="D191" s="94">
        <v>-1606.07</v>
      </c>
      <c r="E191" s="95">
        <f>VLOOKUP(A191,'Balancete 2014'!A:D,4,0)</f>
        <v>-7185.28</v>
      </c>
      <c r="I191" s="95">
        <v>-4793.66</v>
      </c>
      <c r="J191" s="99">
        <f t="shared" si="2"/>
        <v>5579.21</v>
      </c>
    </row>
    <row r="192" spans="1:10">
      <c r="A192" s="92" t="s">
        <v>154</v>
      </c>
      <c r="B192" s="93">
        <v>-7</v>
      </c>
      <c r="C192" s="93" t="s">
        <v>155</v>
      </c>
      <c r="D192" s="94">
        <v>3849843.26</v>
      </c>
      <c r="E192" s="95">
        <f>VLOOKUP(A192,'Balancete 2014'!A:D,4,0)</f>
        <v>10085782.41</v>
      </c>
      <c r="I192" s="95">
        <v>4473128.4800000004</v>
      </c>
      <c r="J192" s="99">
        <f t="shared" si="2"/>
        <v>-6235939.1500000004</v>
      </c>
    </row>
    <row r="193" spans="1:12">
      <c r="A193" s="92" t="s">
        <v>342</v>
      </c>
      <c r="B193" s="93">
        <v>-9</v>
      </c>
      <c r="C193" s="93" t="s">
        <v>155</v>
      </c>
      <c r="D193" s="94">
        <v>3850421.45</v>
      </c>
      <c r="E193" s="95">
        <f>VLOOKUP(A193,'Balancete 2014'!A:D,4,0)</f>
        <v>10005799.5</v>
      </c>
      <c r="I193" s="95">
        <v>4474854.2</v>
      </c>
      <c r="J193" s="99">
        <f t="shared" si="2"/>
        <v>-6155378.0499999998</v>
      </c>
    </row>
    <row r="194" spans="1:12">
      <c r="A194" s="92" t="s">
        <v>156</v>
      </c>
      <c r="B194" s="93">
        <v>-7</v>
      </c>
      <c r="C194" s="93" t="s">
        <v>155</v>
      </c>
      <c r="D194" s="94">
        <v>3850421.45</v>
      </c>
      <c r="E194" s="95">
        <f>VLOOKUP(A194,'Balancete 2014'!A:D,4,0)</f>
        <v>10005799.5</v>
      </c>
      <c r="I194" s="95">
        <v>4474854.2</v>
      </c>
      <c r="J194" s="99">
        <f t="shared" si="2"/>
        <v>-6155378.0499999998</v>
      </c>
    </row>
    <row r="195" spans="1:12">
      <c r="A195" s="92" t="s">
        <v>157</v>
      </c>
      <c r="B195" s="93">
        <v>0</v>
      </c>
      <c r="C195" s="93" t="s">
        <v>841</v>
      </c>
      <c r="D195" s="94">
        <v>-578.19000000000005</v>
      </c>
      <c r="E195" s="95">
        <f>VLOOKUP(A195,'Balancete 2014'!A:D,4,0)</f>
        <v>-2586.6999999999998</v>
      </c>
      <c r="I195" s="95">
        <v>-1725.72</v>
      </c>
      <c r="J195" s="99">
        <f t="shared" si="2"/>
        <v>2008.5099999999998</v>
      </c>
    </row>
    <row r="196" spans="1:12">
      <c r="A196" s="92" t="s">
        <v>344</v>
      </c>
      <c r="B196" s="93">
        <v>-8</v>
      </c>
      <c r="C196" s="93" t="s">
        <v>842</v>
      </c>
      <c r="D196" s="94">
        <v>-578.19000000000005</v>
      </c>
      <c r="E196" s="95">
        <f>VLOOKUP(A196,'Balancete 2014'!A:D,4,0)</f>
        <v>-2586.6999999999998</v>
      </c>
      <c r="I196" s="95">
        <v>-1725.72</v>
      </c>
      <c r="J196" s="99">
        <f t="shared" si="2"/>
        <v>2008.5099999999998</v>
      </c>
    </row>
    <row r="197" spans="1:12">
      <c r="A197" s="92">
        <v>4</v>
      </c>
      <c r="B197" s="93">
        <v>-6</v>
      </c>
      <c r="C197" s="93" t="s">
        <v>345</v>
      </c>
      <c r="D197" s="94">
        <v>691167444.55999994</v>
      </c>
      <c r="E197" s="95">
        <f>VLOOKUP(A197,'Balancete 2014'!A:D,4,0)</f>
        <v>496468837.75</v>
      </c>
      <c r="I197" s="95">
        <v>361640114.55000001</v>
      </c>
      <c r="J197" s="99">
        <f>+D197-E197</f>
        <v>194698606.80999994</v>
      </c>
    </row>
    <row r="198" spans="1:12">
      <c r="A198" s="92" t="s">
        <v>158</v>
      </c>
      <c r="B198" s="93">
        <v>-1</v>
      </c>
      <c r="C198" s="93" t="s">
        <v>159</v>
      </c>
      <c r="D198" s="94">
        <v>691167444.55999994</v>
      </c>
      <c r="E198" s="95">
        <f>VLOOKUP(A198,'Balancete 2014'!A:D,4,0)</f>
        <v>496468837.75</v>
      </c>
      <c r="I198" s="95">
        <v>361640114.55000001</v>
      </c>
      <c r="J198" s="99">
        <f t="shared" si="2"/>
        <v>194698606.80999994</v>
      </c>
    </row>
    <row r="199" spans="1:12">
      <c r="A199" s="92" t="s">
        <v>323</v>
      </c>
      <c r="B199" s="93">
        <v>-6</v>
      </c>
      <c r="C199" s="93" t="s">
        <v>308</v>
      </c>
      <c r="D199" s="94">
        <v>16458998.84</v>
      </c>
      <c r="E199" s="95">
        <f>VLOOKUP(A199,'Balancete 2014'!A:D,4,0)</f>
        <v>196736373.74000001</v>
      </c>
      <c r="I199" s="95">
        <v>139192097.18000001</v>
      </c>
      <c r="J199" s="99">
        <f t="shared" si="2"/>
        <v>-180277374.90000001</v>
      </c>
    </row>
    <row r="200" spans="1:12">
      <c r="A200" s="92" t="s">
        <v>309</v>
      </c>
      <c r="B200" s="93">
        <v>0</v>
      </c>
      <c r="C200" s="93" t="s">
        <v>310</v>
      </c>
      <c r="D200" s="94">
        <v>16458998.84</v>
      </c>
      <c r="E200" s="95">
        <f>VLOOKUP(A200,'Balancete 2014'!A:D,4,0)</f>
        <v>196736373.74000001</v>
      </c>
      <c r="I200" s="95">
        <v>139192097.18000001</v>
      </c>
      <c r="J200" s="99">
        <f t="shared" si="2"/>
        <v>-180277374.90000001</v>
      </c>
    </row>
    <row r="201" spans="1:12">
      <c r="A201" s="92" t="s">
        <v>311</v>
      </c>
      <c r="B201" s="93">
        <v>-1</v>
      </c>
      <c r="C201" s="93" t="s">
        <v>312</v>
      </c>
      <c r="D201" s="94">
        <v>16458998.84</v>
      </c>
      <c r="E201" s="95">
        <f>VLOOKUP(A201,'Balancete 2014'!A:D,4,0)</f>
        <v>196736373.74000001</v>
      </c>
      <c r="H201" s="94">
        <v>208428602.47</v>
      </c>
      <c r="I201" s="95">
        <v>139192097.18000001</v>
      </c>
      <c r="J201" s="99">
        <f t="shared" si="2"/>
        <v>-180277374.90000001</v>
      </c>
    </row>
    <row r="202" spans="1:12">
      <c r="A202" s="92" t="s">
        <v>247</v>
      </c>
      <c r="B202" s="93">
        <v>0</v>
      </c>
      <c r="C202" s="93" t="s">
        <v>313</v>
      </c>
      <c r="D202" s="94">
        <v>16458998.84</v>
      </c>
      <c r="E202" s="95">
        <f>VLOOKUP(A202,'Balancete 2014'!A:D,4,0)</f>
        <v>196736373.74000001</v>
      </c>
      <c r="H202" s="100">
        <f>+H201-E202</f>
        <v>11692228.729999989</v>
      </c>
      <c r="I202" s="95">
        <v>139192097.18000001</v>
      </c>
      <c r="J202" s="99">
        <f t="shared" si="2"/>
        <v>-180277374.90000001</v>
      </c>
    </row>
    <row r="203" spans="1:12">
      <c r="A203" s="92" t="s">
        <v>160</v>
      </c>
      <c r="B203" s="93">
        <v>-4</v>
      </c>
      <c r="C203" s="93" t="s">
        <v>161</v>
      </c>
      <c r="D203" s="94">
        <v>270556978.81999999</v>
      </c>
      <c r="E203" s="95">
        <f>VLOOKUP(A203,'Balancete 2014'!A:D,4,0)</f>
        <v>294025728.44999999</v>
      </c>
      <c r="I203" s="95">
        <v>219850479.72999999</v>
      </c>
      <c r="J203" s="99">
        <f t="shared" si="2"/>
        <v>-23468749.629999995</v>
      </c>
    </row>
    <row r="204" spans="1:12">
      <c r="A204" s="92" t="s">
        <v>324</v>
      </c>
      <c r="B204" s="93">
        <v>-8</v>
      </c>
      <c r="C204" s="93" t="s">
        <v>518</v>
      </c>
      <c r="D204" s="94">
        <v>6497213.3200000003</v>
      </c>
      <c r="E204" s="95">
        <f>VLOOKUP(A204,'Balancete 2014'!A:D,4,0)</f>
        <v>20106491.969999999</v>
      </c>
      <c r="I204" s="95">
        <v>9649486.3900000006</v>
      </c>
      <c r="J204" s="99">
        <f t="shared" si="2"/>
        <v>-13609278.649999999</v>
      </c>
      <c r="K204" s="100"/>
      <c r="L204" s="100"/>
    </row>
    <row r="205" spans="1:12">
      <c r="A205" s="92" t="s">
        <v>162</v>
      </c>
      <c r="B205" s="93">
        <v>0</v>
      </c>
      <c r="C205" s="93" t="s">
        <v>843</v>
      </c>
      <c r="D205" s="94">
        <v>6497213.3200000003</v>
      </c>
      <c r="E205" s="95">
        <f>VLOOKUP(A205,'Balancete 2014'!A:D,4,0)</f>
        <v>20106491.969999999</v>
      </c>
      <c r="I205" s="95">
        <v>9649486.3900000006</v>
      </c>
      <c r="J205" s="99">
        <f t="shared" si="2"/>
        <v>-13609278.649999999</v>
      </c>
      <c r="K205" s="100"/>
      <c r="L205" s="100"/>
    </row>
    <row r="206" spans="1:12">
      <c r="A206" s="92" t="s">
        <v>301</v>
      </c>
      <c r="B206" s="93">
        <v>-8</v>
      </c>
      <c r="C206" s="93" t="s">
        <v>844</v>
      </c>
      <c r="D206" s="94">
        <v>5907551.6799999997</v>
      </c>
      <c r="E206" s="95">
        <f>VLOOKUP(A206,'Balancete 2014'!A:D,4,0)</f>
        <v>9204587.2200000007</v>
      </c>
      <c r="I206" s="95">
        <v>2804391.71</v>
      </c>
      <c r="J206" s="99">
        <f t="shared" si="2"/>
        <v>-3297035.540000001</v>
      </c>
      <c r="K206" s="100"/>
      <c r="L206" s="100"/>
    </row>
    <row r="207" spans="1:12">
      <c r="A207" s="92" t="s">
        <v>163</v>
      </c>
      <c r="B207" s="93">
        <v>-6</v>
      </c>
      <c r="C207" s="93" t="s">
        <v>845</v>
      </c>
      <c r="D207" s="94">
        <v>60830.99</v>
      </c>
      <c r="E207" s="95">
        <f>VLOOKUP(A207,'Balancete 2014'!A:D,4,0)</f>
        <v>4405079.59</v>
      </c>
      <c r="I207" s="95">
        <v>3319298.04</v>
      </c>
      <c r="J207" s="99">
        <f t="shared" si="2"/>
        <v>-4344248.5999999996</v>
      </c>
      <c r="K207" s="100"/>
      <c r="L207" s="100"/>
    </row>
    <row r="208" spans="1:12">
      <c r="A208" s="92" t="s">
        <v>164</v>
      </c>
      <c r="B208" s="93">
        <v>-4</v>
      </c>
      <c r="C208" s="93" t="s">
        <v>846</v>
      </c>
      <c r="D208" s="94">
        <v>450090.45</v>
      </c>
      <c r="E208" s="95">
        <f>VLOOKUP(A208,'Balancete 2014'!A:D,4,0)</f>
        <v>5337932.0199999996</v>
      </c>
      <c r="I208" s="95">
        <v>2896870.75</v>
      </c>
      <c r="J208" s="99">
        <f t="shared" si="2"/>
        <v>-4887841.5699999994</v>
      </c>
    </row>
    <row r="209" spans="1:14">
      <c r="A209" s="92" t="s">
        <v>165</v>
      </c>
      <c r="B209" s="93">
        <v>-2</v>
      </c>
      <c r="C209" s="93" t="s">
        <v>847</v>
      </c>
      <c r="D209" s="94">
        <v>78740.2</v>
      </c>
      <c r="E209" s="95">
        <f>VLOOKUP(A209,'Balancete 2014'!A:D,4,0)</f>
        <v>1158893.1399999999</v>
      </c>
      <c r="I209" s="95">
        <v>628925.89</v>
      </c>
      <c r="J209" s="99">
        <f t="shared" si="2"/>
        <v>-1080152.94</v>
      </c>
    </row>
    <row r="210" spans="1:14">
      <c r="A210" s="92" t="s">
        <v>524</v>
      </c>
      <c r="B210" s="93">
        <v>-1</v>
      </c>
      <c r="C210" s="93" t="s">
        <v>525</v>
      </c>
      <c r="D210" s="94">
        <v>14343.75</v>
      </c>
      <c r="E210" s="95">
        <f>VLOOKUP(A210,'Balancete 2014'!A:D,4,0)</f>
        <v>73439.63</v>
      </c>
      <c r="I210" s="95" t="e">
        <v>#N/A</v>
      </c>
      <c r="J210" s="99">
        <f t="shared" si="2"/>
        <v>-59095.880000000005</v>
      </c>
    </row>
    <row r="211" spans="1:14">
      <c r="A211" s="92" t="s">
        <v>526</v>
      </c>
      <c r="B211" s="93">
        <v>-9</v>
      </c>
      <c r="C211" s="93" t="s">
        <v>848</v>
      </c>
      <c r="D211" s="94">
        <v>14343.75</v>
      </c>
      <c r="E211" s="95">
        <f>VLOOKUP(A211,'Balancete 2014'!A:D,4,0)</f>
        <v>73439.63</v>
      </c>
      <c r="I211" s="95" t="e">
        <v>#N/A</v>
      </c>
      <c r="J211" s="99">
        <f t="shared" ref="J211:J270" si="3">+D211-E211</f>
        <v>-59095.880000000005</v>
      </c>
    </row>
    <row r="212" spans="1:14">
      <c r="A212" s="92" t="s">
        <v>528</v>
      </c>
      <c r="B212" s="93">
        <v>-5</v>
      </c>
      <c r="C212" s="93" t="s">
        <v>849</v>
      </c>
      <c r="D212" s="94">
        <v>14343.75</v>
      </c>
      <c r="E212" s="95">
        <f>VLOOKUP(A212,'Balancete 2014'!A:D,4,0)</f>
        <v>73439.63</v>
      </c>
      <c r="I212" s="95" t="e">
        <v>#N/A</v>
      </c>
      <c r="J212" s="99">
        <f t="shared" si="3"/>
        <v>-59095.880000000005</v>
      </c>
    </row>
    <row r="213" spans="1:14">
      <c r="A213" s="92" t="s">
        <v>326</v>
      </c>
      <c r="B213" s="93">
        <v>-5</v>
      </c>
      <c r="C213" s="93" t="s">
        <v>530</v>
      </c>
      <c r="D213" s="94">
        <v>264045421.75</v>
      </c>
      <c r="E213" s="95">
        <f>VLOOKUP(A213,'Balancete 2014'!A:D,4,0)</f>
        <v>273845796.85000002</v>
      </c>
      <c r="I213" s="95">
        <v>210200993.34</v>
      </c>
      <c r="J213" s="99">
        <f t="shared" si="3"/>
        <v>-9800375.1000000238</v>
      </c>
    </row>
    <row r="214" spans="1:14">
      <c r="A214" s="92" t="s">
        <v>166</v>
      </c>
      <c r="B214" s="93">
        <v>-1</v>
      </c>
      <c r="C214" s="93" t="s">
        <v>167</v>
      </c>
      <c r="D214" s="94">
        <v>264045421.75</v>
      </c>
      <c r="E214" s="95">
        <f>VLOOKUP(A214,'Balancete 2014'!A:D,4,0)</f>
        <v>273845796.85000002</v>
      </c>
      <c r="I214" s="95">
        <v>210200993.34</v>
      </c>
      <c r="J214" s="99">
        <f t="shared" si="3"/>
        <v>-9800375.1000000238</v>
      </c>
      <c r="L214" s="113" t="s">
        <v>324</v>
      </c>
      <c r="M214" s="114">
        <v>6497213.3200000003</v>
      </c>
      <c r="N214" s="115">
        <v>10457005.579999998</v>
      </c>
    </row>
    <row r="215" spans="1:14">
      <c r="A215" s="92" t="s">
        <v>168</v>
      </c>
      <c r="B215" s="93">
        <v>0</v>
      </c>
      <c r="C215" s="93" t="s">
        <v>908</v>
      </c>
      <c r="D215" s="94">
        <v>203144782.16</v>
      </c>
      <c r="E215" s="95">
        <f>VLOOKUP(A215,'Balancete 2014'!A:D,4,0)</f>
        <v>210684754.06999999</v>
      </c>
      <c r="I215" s="95">
        <v>161719278.13</v>
      </c>
      <c r="J215" s="99">
        <f t="shared" si="3"/>
        <v>-7539971.9099999964</v>
      </c>
      <c r="L215" s="116" t="s">
        <v>524</v>
      </c>
      <c r="M215" s="117">
        <v>14343.75</v>
      </c>
      <c r="N215" s="118">
        <v>73439.63</v>
      </c>
    </row>
    <row r="216" spans="1:14">
      <c r="A216" s="92" t="s">
        <v>169</v>
      </c>
      <c r="B216" s="93">
        <v>-8</v>
      </c>
      <c r="C216" s="93" t="s">
        <v>909</v>
      </c>
      <c r="D216" s="94">
        <v>60900639.590000004</v>
      </c>
      <c r="E216" s="95">
        <f>VLOOKUP(A216,'Balancete 2014'!A:D,4,0)</f>
        <v>63161042.780000001</v>
      </c>
      <c r="I216" s="95">
        <v>48481715.210000001</v>
      </c>
      <c r="J216" s="99">
        <f t="shared" si="3"/>
        <v>-2260403.1899999976</v>
      </c>
      <c r="L216" s="116" t="s">
        <v>325</v>
      </c>
      <c r="M216" s="117">
        <v>420610465.74000001</v>
      </c>
      <c r="N216" s="118">
        <v>3109197.9199999995</v>
      </c>
    </row>
    <row r="217" spans="1:14">
      <c r="A217" s="92" t="s">
        <v>325</v>
      </c>
      <c r="B217" s="93">
        <v>-5</v>
      </c>
      <c r="C217" s="93" t="s">
        <v>170</v>
      </c>
      <c r="D217" s="94">
        <v>420610465.74000001</v>
      </c>
      <c r="E217" s="95">
        <f>VLOOKUP(A217,'Balancete 2014'!A:D,4,0)</f>
        <v>5706735.5599999996</v>
      </c>
      <c r="I217" s="95">
        <v>2597537.64</v>
      </c>
      <c r="J217" s="99">
        <f t="shared" si="3"/>
        <v>414903730.18000001</v>
      </c>
      <c r="L217" s="116"/>
      <c r="M217" s="117">
        <f>(+M216+M215+M214)/1000</f>
        <v>427122.02280999999</v>
      </c>
      <c r="N217" s="118">
        <v>13639643.129999997</v>
      </c>
    </row>
    <row r="218" spans="1:14">
      <c r="A218" s="92" t="s">
        <v>171</v>
      </c>
      <c r="B218" s="93">
        <v>-6</v>
      </c>
      <c r="C218" s="93" t="s">
        <v>172</v>
      </c>
      <c r="D218" s="94">
        <v>754994.43</v>
      </c>
      <c r="E218" s="95">
        <f>VLOOKUP(A218,'Balancete 2014'!A:D,4,0)</f>
        <v>428928.08</v>
      </c>
      <c r="I218" s="95">
        <v>369395.76</v>
      </c>
      <c r="J218" s="99">
        <f t="shared" si="3"/>
        <v>326066.35000000003</v>
      </c>
      <c r="L218" s="116"/>
      <c r="M218" s="119"/>
      <c r="N218" s="120">
        <v>13640</v>
      </c>
    </row>
    <row r="219" spans="1:14">
      <c r="A219" s="92" t="s">
        <v>173</v>
      </c>
      <c r="B219" s="93">
        <v>-8</v>
      </c>
      <c r="C219" s="93" t="s">
        <v>850</v>
      </c>
      <c r="D219" s="94">
        <v>754994.43</v>
      </c>
      <c r="E219" s="95">
        <f>VLOOKUP(A219,'Balancete 2014'!A:D,4,0)</f>
        <v>428928.08</v>
      </c>
      <c r="I219" s="95">
        <v>369395.76</v>
      </c>
      <c r="J219" s="99">
        <f t="shared" si="3"/>
        <v>326066.35000000003</v>
      </c>
      <c r="L219" s="116">
        <v>49985</v>
      </c>
      <c r="M219" s="117">
        <v>5401650.9000000004</v>
      </c>
      <c r="N219" s="120"/>
    </row>
    <row r="220" spans="1:14">
      <c r="A220" s="92" t="s">
        <v>534</v>
      </c>
      <c r="B220" s="93">
        <v>-6</v>
      </c>
      <c r="C220" s="93" t="s">
        <v>851</v>
      </c>
      <c r="D220" s="94">
        <v>150327.41</v>
      </c>
      <c r="E220" s="95" t="e">
        <f>VLOOKUP(A220,'Balancete 2014'!A:D,4,0)</f>
        <v>#N/A</v>
      </c>
      <c r="I220" s="95" t="e">
        <v>#N/A</v>
      </c>
      <c r="J220" s="99" t="e">
        <f t="shared" si="3"/>
        <v>#N/A</v>
      </c>
      <c r="L220" s="116"/>
      <c r="M220" s="119">
        <f>+M219/1000</f>
        <v>5401.6509000000005</v>
      </c>
      <c r="N220" s="120"/>
    </row>
    <row r="221" spans="1:14">
      <c r="A221" s="92" t="s">
        <v>536</v>
      </c>
      <c r="B221" s="93">
        <v>-4</v>
      </c>
      <c r="C221" s="93" t="s">
        <v>852</v>
      </c>
      <c r="D221" s="94">
        <v>18039.29</v>
      </c>
      <c r="E221" s="95" t="e">
        <f>VLOOKUP(A221,'Balancete 2014'!A:D,4,0)</f>
        <v>#N/A</v>
      </c>
      <c r="I221" s="95" t="e">
        <v>#N/A</v>
      </c>
      <c r="J221" s="99" t="e">
        <f t="shared" si="3"/>
        <v>#N/A</v>
      </c>
      <c r="L221" s="121"/>
      <c r="M221" s="122">
        <f>+M217-M220</f>
        <v>421720.37190999999</v>
      </c>
      <c r="N221" s="123"/>
    </row>
    <row r="222" spans="1:14">
      <c r="A222" s="92" t="s">
        <v>538</v>
      </c>
      <c r="B222" s="93">
        <v>-2</v>
      </c>
      <c r="C222" s="93" t="s">
        <v>853</v>
      </c>
      <c r="D222" s="94">
        <v>12026.19</v>
      </c>
      <c r="E222" s="95" t="e">
        <f>VLOOKUP(A222,'Balancete 2014'!A:D,4,0)</f>
        <v>#N/A</v>
      </c>
      <c r="I222" s="95" t="e">
        <v>#N/A</v>
      </c>
      <c r="J222" s="99" t="e">
        <f t="shared" si="3"/>
        <v>#N/A</v>
      </c>
    </row>
    <row r="223" spans="1:14">
      <c r="A223" s="92" t="s">
        <v>540</v>
      </c>
      <c r="B223" s="93">
        <v>0</v>
      </c>
      <c r="C223" s="93" t="s">
        <v>854</v>
      </c>
      <c r="D223" s="94">
        <v>30065.48</v>
      </c>
      <c r="E223" s="95" t="e">
        <f>VLOOKUP(A223,'Balancete 2014'!A:D,4,0)</f>
        <v>#N/A</v>
      </c>
      <c r="I223" s="95" t="e">
        <v>#N/A</v>
      </c>
      <c r="J223" s="99" t="e">
        <f t="shared" si="3"/>
        <v>#N/A</v>
      </c>
    </row>
    <row r="224" spans="1:14">
      <c r="A224" s="92" t="s">
        <v>174</v>
      </c>
      <c r="B224" s="93">
        <v>-9</v>
      </c>
      <c r="C224" s="93" t="s">
        <v>855</v>
      </c>
      <c r="D224" s="94">
        <v>381563.02</v>
      </c>
      <c r="E224" s="95">
        <f>VLOOKUP(A224,'Balancete 2014'!A:D,4,0)</f>
        <v>316779.36</v>
      </c>
      <c r="I224" s="95">
        <v>285988.15000000002</v>
      </c>
      <c r="J224" s="99">
        <f t="shared" si="3"/>
        <v>64783.660000000033</v>
      </c>
    </row>
    <row r="225" spans="1:10">
      <c r="A225" s="92" t="s">
        <v>175</v>
      </c>
      <c r="B225" s="93">
        <v>-7</v>
      </c>
      <c r="C225" s="93" t="s">
        <v>856</v>
      </c>
      <c r="D225" s="94">
        <v>122733.11</v>
      </c>
      <c r="E225" s="95">
        <f>VLOOKUP(A225,'Balancete 2014'!A:D,4,0)</f>
        <v>87985.26</v>
      </c>
      <c r="I225" s="95">
        <v>59244.15</v>
      </c>
      <c r="J225" s="99">
        <f t="shared" si="3"/>
        <v>34747.850000000006</v>
      </c>
    </row>
    <row r="226" spans="1:10">
      <c r="A226" s="92" t="s">
        <v>176</v>
      </c>
      <c r="B226" s="93">
        <v>-5</v>
      </c>
      <c r="C226" s="93" t="s">
        <v>857</v>
      </c>
      <c r="D226" s="94">
        <v>40239.93</v>
      </c>
      <c r="E226" s="95">
        <f>VLOOKUP(A226,'Balancete 2014'!A:D,4,0)</f>
        <v>24163.46</v>
      </c>
      <c r="I226" s="95">
        <v>24163.46</v>
      </c>
      <c r="J226" s="99">
        <f t="shared" si="3"/>
        <v>16076.470000000001</v>
      </c>
    </row>
    <row r="227" spans="1:10">
      <c r="A227" s="92" t="s">
        <v>545</v>
      </c>
      <c r="B227" s="93">
        <v>-7</v>
      </c>
      <c r="C227" s="93" t="s">
        <v>546</v>
      </c>
      <c r="D227" s="94">
        <v>5401650.9000000004</v>
      </c>
      <c r="E227" s="95">
        <f>VLOOKUP(A227,'Balancete 2014'!A:D,4,0)</f>
        <v>2013542.19</v>
      </c>
      <c r="I227" s="95" t="e">
        <v>#N/A</v>
      </c>
      <c r="J227" s="99">
        <f t="shared" si="3"/>
        <v>3388108.7100000004</v>
      </c>
    </row>
    <row r="228" spans="1:10">
      <c r="A228" s="92" t="s">
        <v>547</v>
      </c>
      <c r="B228" s="93">
        <v>-2</v>
      </c>
      <c r="C228" s="93" t="s">
        <v>546</v>
      </c>
      <c r="D228" s="94">
        <v>5401650.9000000004</v>
      </c>
      <c r="E228" s="95">
        <f>VLOOKUP(A228,'Balancete 2014'!A:D,4,0)</f>
        <v>2013542.19</v>
      </c>
      <c r="I228" s="95" t="e">
        <v>#N/A</v>
      </c>
      <c r="J228" s="99">
        <f t="shared" si="3"/>
        <v>3388108.7100000004</v>
      </c>
    </row>
    <row r="229" spans="1:10">
      <c r="A229" s="92" t="s">
        <v>548</v>
      </c>
      <c r="B229" s="93">
        <v>-7</v>
      </c>
      <c r="C229" s="93" t="s">
        <v>910</v>
      </c>
      <c r="D229" s="94">
        <v>5401650.9000000004</v>
      </c>
      <c r="E229" s="95">
        <f>VLOOKUP(A229,'Balancete 2014'!A:D,4,0)</f>
        <v>2013542.19</v>
      </c>
      <c r="I229" s="95" t="e">
        <v>#N/A</v>
      </c>
      <c r="J229" s="99">
        <f t="shared" si="3"/>
        <v>3388108.7100000004</v>
      </c>
    </row>
    <row r="230" spans="1:10">
      <c r="A230" s="92" t="s">
        <v>177</v>
      </c>
      <c r="B230" s="93">
        <v>-7</v>
      </c>
      <c r="C230" s="93" t="s">
        <v>178</v>
      </c>
      <c r="D230" s="94">
        <v>414453820.41000003</v>
      </c>
      <c r="E230" s="95">
        <f>VLOOKUP(A230,'Balancete 2014'!A:D,4,0)</f>
        <v>3264265.29</v>
      </c>
      <c r="I230" s="95">
        <v>2228141.88</v>
      </c>
      <c r="J230" s="99">
        <f t="shared" si="3"/>
        <v>411189555.12</v>
      </c>
    </row>
    <row r="231" spans="1:10">
      <c r="A231" s="92" t="s">
        <v>179</v>
      </c>
      <c r="B231" s="93">
        <v>0</v>
      </c>
      <c r="C231" s="93" t="s">
        <v>858</v>
      </c>
      <c r="D231" s="94">
        <v>414453820.41000003</v>
      </c>
      <c r="E231" s="95">
        <f>VLOOKUP(A231,'Balancete 2014'!A:D,4,0)</f>
        <v>3264265.29</v>
      </c>
      <c r="I231" s="95">
        <v>2228141.88</v>
      </c>
      <c r="J231" s="99">
        <f t="shared" si="3"/>
        <v>411189555.12</v>
      </c>
    </row>
    <row r="232" spans="1:10">
      <c r="A232" s="92" t="s">
        <v>180</v>
      </c>
      <c r="B232" s="93">
        <v>-9</v>
      </c>
      <c r="C232" s="93" t="s">
        <v>859</v>
      </c>
      <c r="D232" s="94">
        <v>158144.85</v>
      </c>
      <c r="E232" s="95">
        <f>VLOOKUP(A232,'Balancete 2014'!A:D,4,0)</f>
        <v>242178.11</v>
      </c>
      <c r="I232" s="95">
        <v>212083.94</v>
      </c>
      <c r="J232" s="99">
        <f t="shared" si="3"/>
        <v>-84033.25999999998</v>
      </c>
    </row>
    <row r="233" spans="1:10">
      <c r="A233" s="92" t="s">
        <v>181</v>
      </c>
      <c r="B233" s="93">
        <v>-7</v>
      </c>
      <c r="C233" s="93" t="s">
        <v>860</v>
      </c>
      <c r="D233" s="94">
        <v>603309.75</v>
      </c>
      <c r="E233" s="95">
        <f>VLOOKUP(A233,'Balancete 2014'!A:D,4,0)</f>
        <v>490420.18</v>
      </c>
      <c r="I233" s="95">
        <v>402106.93</v>
      </c>
      <c r="J233" s="99">
        <f t="shared" si="3"/>
        <v>112889.57</v>
      </c>
    </row>
    <row r="234" spans="1:10">
      <c r="A234" s="92" t="s">
        <v>182</v>
      </c>
      <c r="B234" s="93">
        <v>-5</v>
      </c>
      <c r="C234" s="93" t="s">
        <v>861</v>
      </c>
      <c r="D234" s="94">
        <v>257232.21</v>
      </c>
      <c r="E234" s="95">
        <f>VLOOKUP(A234,'Balancete 2014'!A:D,4,0)</f>
        <v>31248.01</v>
      </c>
      <c r="I234" s="95">
        <v>22394.38</v>
      </c>
      <c r="J234" s="99">
        <f t="shared" si="3"/>
        <v>225984.19999999998</v>
      </c>
    </row>
    <row r="235" spans="1:10">
      <c r="A235" s="92" t="s">
        <v>183</v>
      </c>
      <c r="B235" s="93">
        <v>-1</v>
      </c>
      <c r="C235" s="93" t="s">
        <v>862</v>
      </c>
      <c r="D235" s="94">
        <v>3368739.93</v>
      </c>
      <c r="E235" s="95">
        <f>VLOOKUP(A235,'Balancete 2014'!A:D,4,0)</f>
        <v>2500418.9900000002</v>
      </c>
      <c r="I235" s="95">
        <v>1591556.63</v>
      </c>
      <c r="J235" s="99">
        <f t="shared" si="3"/>
        <v>868320.94</v>
      </c>
    </row>
    <row r="236" spans="1:10">
      <c r="A236" s="92" t="s">
        <v>778</v>
      </c>
      <c r="B236" s="93">
        <v>0</v>
      </c>
      <c r="C236" s="93" t="s">
        <v>779</v>
      </c>
      <c r="D236" s="94">
        <v>374491746.10000002</v>
      </c>
      <c r="E236" s="95" t="e">
        <f>VLOOKUP(A236,'Balancete 2014'!A:D,4,0)</f>
        <v>#N/A</v>
      </c>
      <c r="I236" s="95" t="e">
        <v>#N/A</v>
      </c>
      <c r="J236" s="99" t="e">
        <f t="shared" si="3"/>
        <v>#N/A</v>
      </c>
    </row>
    <row r="237" spans="1:10">
      <c r="A237" s="92" t="s">
        <v>780</v>
      </c>
      <c r="B237" s="93">
        <v>-8</v>
      </c>
      <c r="C237" s="93" t="s">
        <v>781</v>
      </c>
      <c r="D237" s="94">
        <v>35574647.57</v>
      </c>
      <c r="E237" s="95" t="e">
        <f>VLOOKUP(A237,'Balancete 2014'!A:D,4,0)</f>
        <v>#N/A</v>
      </c>
      <c r="I237" s="95" t="e">
        <v>#N/A</v>
      </c>
      <c r="J237" s="99" t="e">
        <f t="shared" si="3"/>
        <v>#N/A</v>
      </c>
    </row>
    <row r="238" spans="1:10">
      <c r="A238" s="92">
        <v>6</v>
      </c>
      <c r="B238" s="93">
        <v>-9</v>
      </c>
      <c r="C238" s="93" t="s">
        <v>184</v>
      </c>
      <c r="D238" s="94">
        <f>2870078240.09+3465052.39+49376996.51</f>
        <v>2922920288.9900002</v>
      </c>
      <c r="E238" s="95">
        <f>VLOOKUP(A238,'Balancete 2014'!A:D,4,0)</f>
        <v>4858695773.04</v>
      </c>
      <c r="I238" s="95">
        <v>3736089610.29</v>
      </c>
      <c r="J238" s="99">
        <f t="shared" si="3"/>
        <v>-1935775484.0499997</v>
      </c>
    </row>
    <row r="239" spans="1:10">
      <c r="A239" s="92" t="s">
        <v>185</v>
      </c>
      <c r="B239" s="93">
        <v>-6</v>
      </c>
      <c r="C239" s="93" t="s">
        <v>184</v>
      </c>
      <c r="D239" s="94">
        <f>2870078240.09+3465052.39+49376996.51</f>
        <v>2922920288.9900002</v>
      </c>
      <c r="E239" s="95">
        <f>VLOOKUP(A239,'Balancete 2014'!A:D,4,0)</f>
        <v>4858695773.04</v>
      </c>
      <c r="I239" s="95">
        <v>3736089610.29</v>
      </c>
      <c r="J239" s="99">
        <f t="shared" si="3"/>
        <v>-1935775484.0499997</v>
      </c>
    </row>
    <row r="240" spans="1:10">
      <c r="A240" s="92" t="s">
        <v>186</v>
      </c>
      <c r="B240" s="93">
        <v>-4</v>
      </c>
      <c r="C240" s="93" t="s">
        <v>187</v>
      </c>
      <c r="D240" s="94">
        <v>1201232664.8199999</v>
      </c>
      <c r="E240" s="95">
        <f>VLOOKUP(A240,'Balancete 2014'!A:D,4,0)</f>
        <v>4000000000</v>
      </c>
      <c r="I240" s="95">
        <v>3219334938.7199998</v>
      </c>
      <c r="J240" s="99">
        <f t="shared" si="3"/>
        <v>-2798767335.1800003</v>
      </c>
    </row>
    <row r="241" spans="1:12">
      <c r="A241" s="92" t="s">
        <v>327</v>
      </c>
      <c r="B241" s="93">
        <v>-8</v>
      </c>
      <c r="C241" s="93" t="s">
        <v>188</v>
      </c>
      <c r="D241" s="94">
        <v>4000000000</v>
      </c>
      <c r="E241" s="95">
        <f>VLOOKUP(A241,'Balancete 2014'!A:D,4,0)</f>
        <v>4000000000</v>
      </c>
      <c r="I241" s="95">
        <v>4000000000</v>
      </c>
      <c r="J241" s="99">
        <f t="shared" si="3"/>
        <v>0</v>
      </c>
    </row>
    <row r="242" spans="1:12">
      <c r="A242" s="92" t="s">
        <v>189</v>
      </c>
      <c r="B242" s="93">
        <v>-3</v>
      </c>
      <c r="C242" s="93" t="s">
        <v>190</v>
      </c>
      <c r="D242" s="94">
        <v>4000000000</v>
      </c>
      <c r="E242" s="95">
        <f>VLOOKUP(A242,'Balancete 2014'!A:D,4,0)</f>
        <v>4000000000</v>
      </c>
      <c r="I242" s="95">
        <v>4000000000</v>
      </c>
      <c r="J242" s="99">
        <f t="shared" si="3"/>
        <v>0</v>
      </c>
    </row>
    <row r="243" spans="1:12">
      <c r="A243" s="92" t="s">
        <v>191</v>
      </c>
      <c r="B243" s="93">
        <v>-3</v>
      </c>
      <c r="C243" s="93" t="s">
        <v>188</v>
      </c>
      <c r="D243" s="94">
        <v>4000000000</v>
      </c>
      <c r="E243" s="95">
        <f>VLOOKUP(A243,'Balancete 2014'!A:D,4,0)</f>
        <v>4000000000</v>
      </c>
      <c r="I243" s="95">
        <v>4000000000</v>
      </c>
      <c r="J243" s="99">
        <f t="shared" si="3"/>
        <v>0</v>
      </c>
    </row>
    <row r="244" spans="1:12">
      <c r="A244" s="92" t="s">
        <v>328</v>
      </c>
      <c r="B244" s="93">
        <v>-2</v>
      </c>
      <c r="C244" s="93" t="s">
        <v>192</v>
      </c>
      <c r="D244" s="94">
        <v>-2798767335.1799998</v>
      </c>
      <c r="E244" s="95">
        <v>0</v>
      </c>
      <c r="I244" s="95">
        <v>-780665061.27999997</v>
      </c>
      <c r="J244" s="99">
        <f t="shared" si="3"/>
        <v>-2798767335.1799998</v>
      </c>
    </row>
    <row r="245" spans="1:12">
      <c r="A245" s="92" t="s">
        <v>193</v>
      </c>
      <c r="B245" s="93">
        <v>-8</v>
      </c>
      <c r="C245" s="93" t="s">
        <v>194</v>
      </c>
      <c r="D245" s="94">
        <v>-2798767335.1799998</v>
      </c>
      <c r="E245" s="95">
        <v>0</v>
      </c>
      <c r="I245" s="95">
        <v>-780665061.27999997</v>
      </c>
      <c r="J245" s="99">
        <f t="shared" si="3"/>
        <v>-2798767335.1799998</v>
      </c>
    </row>
    <row r="246" spans="1:12">
      <c r="A246" s="92" t="s">
        <v>195</v>
      </c>
      <c r="B246" s="93">
        <v>-2</v>
      </c>
      <c r="C246" s="93" t="s">
        <v>911</v>
      </c>
      <c r="D246" s="94">
        <v>-2798767335.1799998</v>
      </c>
      <c r="E246" s="95">
        <v>0</v>
      </c>
      <c r="I246" s="95">
        <v>-780665061.27999997</v>
      </c>
      <c r="J246" s="99">
        <f t="shared" si="3"/>
        <v>-2798767335.1799998</v>
      </c>
    </row>
    <row r="247" spans="1:12">
      <c r="A247" s="92" t="s">
        <v>330</v>
      </c>
      <c r="B247" s="93">
        <v>-7</v>
      </c>
      <c r="C247" s="93" t="s">
        <v>196</v>
      </c>
      <c r="D247" s="94">
        <f>+D248+D251</f>
        <v>1411355636.9499998</v>
      </c>
      <c r="E247" s="95">
        <f>VLOOKUP(A247,'Balancete 2014'!A:D,4,0)</f>
        <v>1358513588.05</v>
      </c>
      <c r="I247" s="95">
        <v>907551344.15999997</v>
      </c>
      <c r="J247" s="99">
        <f t="shared" si="3"/>
        <v>52842048.899999857</v>
      </c>
    </row>
    <row r="248" spans="1:12">
      <c r="A248" s="92" t="s">
        <v>197</v>
      </c>
      <c r="B248" s="93">
        <v>0</v>
      </c>
      <c r="C248" s="93" t="s">
        <v>198</v>
      </c>
      <c r="D248" s="94">
        <f>144135793.43+3465052.39</f>
        <v>147600845.81999999</v>
      </c>
      <c r="E248" s="95">
        <f>VLOOKUP(A248,'Balancete 2014'!A:D,4,0)</f>
        <v>144135793.43000001</v>
      </c>
      <c r="I248" s="95">
        <v>102717609.48</v>
      </c>
      <c r="J248" s="99">
        <f t="shared" si="3"/>
        <v>3465052.3899999857</v>
      </c>
      <c r="K248" s="100">
        <f>+E248-I248</f>
        <v>41418183.950000003</v>
      </c>
    </row>
    <row r="249" spans="1:12">
      <c r="A249" s="92" t="s">
        <v>199</v>
      </c>
      <c r="B249" s="93">
        <v>-1</v>
      </c>
      <c r="C249" s="93" t="s">
        <v>198</v>
      </c>
      <c r="D249" s="94">
        <f>144135793.43+3465052.39</f>
        <v>147600845.81999999</v>
      </c>
      <c r="E249" s="95">
        <f>VLOOKUP(A249,'Balancete 2014'!A:D,4,0)</f>
        <v>144135793.43000001</v>
      </c>
      <c r="I249" s="95">
        <v>102717609.48</v>
      </c>
      <c r="J249" s="99">
        <f t="shared" si="3"/>
        <v>3465052.3899999857</v>
      </c>
    </row>
    <row r="250" spans="1:12">
      <c r="A250" s="92" t="s">
        <v>200</v>
      </c>
      <c r="B250" s="93">
        <v>0</v>
      </c>
      <c r="C250" s="93" t="s">
        <v>198</v>
      </c>
      <c r="D250" s="94">
        <f>144135793.43+3465052.39</f>
        <v>147600845.81999999</v>
      </c>
      <c r="E250" s="95">
        <f>VLOOKUP(A250,'Balancete 2014'!A:D,4,0)</f>
        <v>144135793.43000001</v>
      </c>
      <c r="I250" s="95">
        <v>102717609.48</v>
      </c>
      <c r="J250" s="99">
        <f t="shared" si="3"/>
        <v>3465052.3899999857</v>
      </c>
    </row>
    <row r="251" spans="1:12">
      <c r="A251" s="92" t="s">
        <v>201</v>
      </c>
      <c r="B251" s="93">
        <v>-4</v>
      </c>
      <c r="C251" s="93" t="s">
        <v>202</v>
      </c>
      <c r="D251" s="94">
        <f>1214377794.61+49376996.52</f>
        <v>1263754791.1299999</v>
      </c>
      <c r="E251" s="95">
        <f>VLOOKUP(A251,'Balancete 2014'!A:D,4,0)</f>
        <v>1214377794.6199999</v>
      </c>
      <c r="I251" s="95">
        <v>804833734.67999995</v>
      </c>
      <c r="J251" s="99">
        <f t="shared" si="3"/>
        <v>49376996.50999999</v>
      </c>
      <c r="L251" s="93">
        <v>49376996.521874987</v>
      </c>
    </row>
    <row r="252" spans="1:12">
      <c r="A252" s="92" t="s">
        <v>203</v>
      </c>
      <c r="B252" s="93">
        <v>0</v>
      </c>
      <c r="C252" s="93" t="s">
        <v>202</v>
      </c>
      <c r="D252" s="94">
        <f>1214377794.61+49376996.52</f>
        <v>1263754791.1299999</v>
      </c>
      <c r="E252" s="95">
        <f>VLOOKUP(A252,'Balancete 2014'!A:D,4,0)</f>
        <v>1214377794.6199999</v>
      </c>
      <c r="I252" s="95">
        <v>804833734.67999995</v>
      </c>
      <c r="J252" s="99">
        <f t="shared" si="3"/>
        <v>49376996.50999999</v>
      </c>
    </row>
    <row r="253" spans="1:12">
      <c r="A253" s="92" t="s">
        <v>204</v>
      </c>
      <c r="B253" s="93">
        <v>-4</v>
      </c>
      <c r="C253" s="93" t="s">
        <v>912</v>
      </c>
      <c r="D253" s="94">
        <f>1214377794.61+49376996.52</f>
        <v>1263754791.1299999</v>
      </c>
      <c r="E253" s="95">
        <f>VLOOKUP(A253,'Balancete 2014'!A:D,4,0)</f>
        <v>1214377794.6199999</v>
      </c>
      <c r="I253" s="95">
        <v>804833734.67999995</v>
      </c>
      <c r="J253" s="99">
        <f t="shared" si="3"/>
        <v>49376996.50999999</v>
      </c>
      <c r="L253" s="100">
        <f>+E240+E247+E254</f>
        <v>5686892192.3900003</v>
      </c>
    </row>
    <row r="254" spans="1:12">
      <c r="A254" s="92" t="s">
        <v>329</v>
      </c>
      <c r="B254" s="93">
        <v>-5</v>
      </c>
      <c r="C254" s="93" t="s">
        <v>205</v>
      </c>
      <c r="D254" s="94">
        <v>318888902.85000002</v>
      </c>
      <c r="E254" s="95">
        <f>VLOOKUP(A254,'Balancete 2014'!A:D,4,0)</f>
        <v>328378604.33999997</v>
      </c>
      <c r="I254" s="95">
        <v>201757722.24000001</v>
      </c>
      <c r="J254" s="99">
        <f t="shared" si="3"/>
        <v>-9489701.4899999499</v>
      </c>
      <c r="L254" s="94">
        <f>+L253-D238</f>
        <v>2763971903.4000001</v>
      </c>
    </row>
    <row r="255" spans="1:12">
      <c r="A255" s="92" t="s">
        <v>206</v>
      </c>
      <c r="B255" s="93">
        <v>-9</v>
      </c>
      <c r="C255" s="93" t="s">
        <v>207</v>
      </c>
      <c r="D255" s="94">
        <v>304538972.32999998</v>
      </c>
      <c r="E255" s="95">
        <f>VLOOKUP(A255,'Balancete 2014'!A:D,4,0)</f>
        <v>317398267.26999998</v>
      </c>
      <c r="I255" s="95">
        <v>202437917.15000001</v>
      </c>
      <c r="J255" s="99">
        <f t="shared" si="3"/>
        <v>-12859294.939999998</v>
      </c>
    </row>
    <row r="256" spans="1:12">
      <c r="A256" s="92" t="s">
        <v>208</v>
      </c>
      <c r="B256" s="93">
        <v>-4</v>
      </c>
      <c r="C256" s="93" t="s">
        <v>209</v>
      </c>
      <c r="D256" s="94">
        <v>393734360.75</v>
      </c>
      <c r="E256" s="95">
        <f>VLOOKUP(A256,'Balancete 2014'!A:D,4,0)</f>
        <v>408370776.81</v>
      </c>
      <c r="I256" s="95">
        <v>313925657.55000001</v>
      </c>
      <c r="J256" s="99">
        <f t="shared" si="3"/>
        <v>-14636416.060000002</v>
      </c>
    </row>
    <row r="257" spans="1:12">
      <c r="A257" s="92" t="s">
        <v>210</v>
      </c>
      <c r="B257" s="93">
        <v>-9</v>
      </c>
      <c r="C257" s="93" t="s">
        <v>913</v>
      </c>
      <c r="D257" s="94">
        <v>657374339.66999996</v>
      </c>
      <c r="E257" s="95">
        <f>VLOOKUP(A257,'Balancete 2014'!A:D,4,0)</f>
        <v>681811130.83000004</v>
      </c>
      <c r="I257" s="95">
        <v>524126650.88999999</v>
      </c>
      <c r="J257" s="99">
        <f t="shared" si="3"/>
        <v>-24436791.160000086</v>
      </c>
    </row>
    <row r="258" spans="1:12">
      <c r="A258" s="92" t="s">
        <v>211</v>
      </c>
      <c r="B258" s="93">
        <v>-7</v>
      </c>
      <c r="C258" s="93" t="s">
        <v>914</v>
      </c>
      <c r="D258" s="94">
        <v>-263639978.91999999</v>
      </c>
      <c r="E258" s="95">
        <f>VLOOKUP(A258,'Balancete 2014'!A:D,4,0)</f>
        <v>-273440354.01999998</v>
      </c>
      <c r="I258" s="95">
        <v>-210200993.34</v>
      </c>
      <c r="J258" s="99">
        <f t="shared" si="3"/>
        <v>9800375.099999994</v>
      </c>
    </row>
    <row r="259" spans="1:12">
      <c r="A259" s="92" t="s">
        <v>213</v>
      </c>
      <c r="B259" s="93">
        <v>0</v>
      </c>
      <c r="C259" s="93" t="s">
        <v>863</v>
      </c>
      <c r="D259" s="94">
        <v>-89195388.420000002</v>
      </c>
      <c r="E259" s="95">
        <f>VLOOKUP(A259,'Balancete 2014'!A:D,4,0)</f>
        <v>-90972509.540000007</v>
      </c>
      <c r="I259" s="95">
        <v>-111487740.40000001</v>
      </c>
      <c r="J259" s="99">
        <f t="shared" si="3"/>
        <v>1777121.1200000048</v>
      </c>
    </row>
    <row r="260" spans="1:12">
      <c r="A260" s="92" t="s">
        <v>214</v>
      </c>
      <c r="B260" s="93">
        <v>-1</v>
      </c>
      <c r="C260" s="93" t="s">
        <v>864</v>
      </c>
      <c r="D260" s="94">
        <v>-89195388.420000002</v>
      </c>
      <c r="E260" s="95">
        <f>VLOOKUP(A260,'Balancete 2014'!A:D,4,0)</f>
        <v>-90972509.540000007</v>
      </c>
      <c r="I260" s="95">
        <v>-111487740.40000001</v>
      </c>
      <c r="J260" s="99">
        <f t="shared" si="3"/>
        <v>1777121.1200000048</v>
      </c>
    </row>
    <row r="261" spans="1:12">
      <c r="A261" s="92" t="s">
        <v>297</v>
      </c>
      <c r="B261" s="93">
        <v>-8</v>
      </c>
      <c r="C261" s="93" t="s">
        <v>298</v>
      </c>
      <c r="D261" s="94">
        <v>14349930.52</v>
      </c>
      <c r="E261" s="95">
        <f>VLOOKUP(A261,'Balancete 2014'!A:D,4,0)</f>
        <v>10980337.07</v>
      </c>
      <c r="I261" s="95">
        <v>-680194.91</v>
      </c>
      <c r="J261" s="99">
        <f t="shared" si="3"/>
        <v>3369593.4499999993</v>
      </c>
    </row>
    <row r="262" spans="1:12">
      <c r="A262" s="92" t="s">
        <v>299</v>
      </c>
      <c r="B262" s="93">
        <v>-9</v>
      </c>
      <c r="C262" s="93" t="s">
        <v>298</v>
      </c>
      <c r="D262" s="94">
        <v>14182670.960000001</v>
      </c>
      <c r="E262" s="95">
        <f>VLOOKUP(A262,'Balancete 2014'!A:D,4,0)</f>
        <v>10980337.07</v>
      </c>
      <c r="I262" s="95">
        <v>-680194.91</v>
      </c>
      <c r="J262" s="99">
        <f t="shared" si="3"/>
        <v>3202333.8900000006</v>
      </c>
    </row>
    <row r="263" spans="1:12">
      <c r="A263" s="92" t="s">
        <v>300</v>
      </c>
      <c r="B263" s="93">
        <v>-7</v>
      </c>
      <c r="C263" s="93" t="s">
        <v>915</v>
      </c>
      <c r="D263" s="94">
        <v>14182670.960000001</v>
      </c>
      <c r="E263" s="95">
        <f>VLOOKUP(A263,'Balancete 2014'!A:D,4,0)</f>
        <v>10980337.07</v>
      </c>
      <c r="I263" s="95">
        <v>-680194.91</v>
      </c>
      <c r="J263" s="99">
        <f t="shared" si="3"/>
        <v>3202333.8900000006</v>
      </c>
    </row>
    <row r="264" spans="1:12">
      <c r="A264" s="92" t="s">
        <v>865</v>
      </c>
      <c r="B264" s="93">
        <v>-4</v>
      </c>
      <c r="C264" s="93" t="s">
        <v>866</v>
      </c>
      <c r="D264" s="94">
        <v>167259.56</v>
      </c>
      <c r="E264" s="95" t="e">
        <f>VLOOKUP(A264,'Balancete 2014'!A:D,4,0)</f>
        <v>#N/A</v>
      </c>
      <c r="I264" s="95" t="e">
        <v>#N/A</v>
      </c>
      <c r="J264" s="99" t="e">
        <f t="shared" si="3"/>
        <v>#N/A</v>
      </c>
    </row>
    <row r="265" spans="1:12">
      <c r="A265" s="92" t="s">
        <v>867</v>
      </c>
      <c r="B265" s="93">
        <v>0</v>
      </c>
      <c r="C265" s="93" t="s">
        <v>868</v>
      </c>
      <c r="D265" s="94">
        <v>167259.56</v>
      </c>
      <c r="E265" s="95" t="e">
        <f>VLOOKUP(A265,'Balancete 2014'!A:D,4,0)</f>
        <v>#N/A</v>
      </c>
      <c r="I265" s="95" t="e">
        <v>#N/A</v>
      </c>
      <c r="J265" s="99" t="e">
        <f t="shared" si="3"/>
        <v>#N/A</v>
      </c>
    </row>
    <row r="266" spans="1:12">
      <c r="A266" s="92" t="s">
        <v>679</v>
      </c>
      <c r="B266" s="93">
        <v>-1</v>
      </c>
      <c r="C266" s="93" t="s">
        <v>680</v>
      </c>
      <c r="D266" s="94">
        <v>0</v>
      </c>
      <c r="E266" s="95">
        <f>VLOOKUP(A266,'Balancete 2014'!A:D,4,0)</f>
        <v>-828363678.90999997</v>
      </c>
      <c r="I266" s="95">
        <v>-592721654.38999999</v>
      </c>
      <c r="J266" s="99">
        <f t="shared" si="3"/>
        <v>828363678.90999997</v>
      </c>
    </row>
    <row r="267" spans="1:12">
      <c r="A267" s="92" t="s">
        <v>681</v>
      </c>
      <c r="B267" s="93">
        <v>-5</v>
      </c>
      <c r="C267" s="93" t="s">
        <v>680</v>
      </c>
      <c r="D267" s="94">
        <v>0</v>
      </c>
      <c r="E267" s="95">
        <f>VLOOKUP(A267,'Balancete 2014'!A:D,4,0)</f>
        <v>-828363678.90999997</v>
      </c>
      <c r="I267" s="95">
        <v>-592721654.38999999</v>
      </c>
      <c r="J267" s="99">
        <f t="shared" si="3"/>
        <v>828363678.90999997</v>
      </c>
      <c r="K267" s="93">
        <v>8556915.6199999992</v>
      </c>
    </row>
    <row r="268" spans="1:12">
      <c r="A268" s="92" t="s">
        <v>782</v>
      </c>
      <c r="B268" s="93">
        <v>-7</v>
      </c>
      <c r="C268" s="93" t="s">
        <v>680</v>
      </c>
      <c r="D268" s="94">
        <v>0</v>
      </c>
      <c r="E268" s="95" t="e">
        <f>VLOOKUP(A268,'Balancete 2014'!A:D,4,0)</f>
        <v>#N/A</v>
      </c>
      <c r="I268" s="95" t="e">
        <v>#N/A</v>
      </c>
      <c r="J268" s="99" t="e">
        <f t="shared" si="3"/>
        <v>#N/A</v>
      </c>
    </row>
    <row r="269" spans="1:12" ht="15">
      <c r="A269" s="92" t="s">
        <v>783</v>
      </c>
      <c r="B269" s="93">
        <v>0</v>
      </c>
      <c r="C269" s="93" t="s">
        <v>787</v>
      </c>
      <c r="D269" s="94">
        <v>0</v>
      </c>
      <c r="E269" s="95" t="e">
        <f>VLOOKUP(A269,'Balancete 2014'!A:D,4,0)</f>
        <v>#N/A</v>
      </c>
      <c r="F269" s="151"/>
      <c r="I269" s="95" t="e">
        <v>#N/A</v>
      </c>
      <c r="J269" s="99" t="e">
        <f t="shared" si="3"/>
        <v>#N/A</v>
      </c>
    </row>
    <row r="270" spans="1:12">
      <c r="A270" s="92">
        <v>7</v>
      </c>
      <c r="B270" s="93">
        <v>-5</v>
      </c>
      <c r="C270" s="93" t="s">
        <v>215</v>
      </c>
      <c r="D270" s="94">
        <v>148844775.94999999</v>
      </c>
      <c r="E270" s="95">
        <f>VLOOKUP(A270,'Balancete 2014'!A:D,4,0)</f>
        <v>1074796645.23</v>
      </c>
      <c r="I270" s="95">
        <v>829578704.90999997</v>
      </c>
      <c r="J270" s="99">
        <f t="shared" si="3"/>
        <v>-925951869.27999997</v>
      </c>
      <c r="L270" s="95">
        <v>22893814.34</v>
      </c>
    </row>
    <row r="271" spans="1:12" ht="15">
      <c r="A271" s="92" t="s">
        <v>216</v>
      </c>
      <c r="B271" s="93">
        <v>-2</v>
      </c>
      <c r="C271" s="93" t="s">
        <v>217</v>
      </c>
      <c r="D271" s="94">
        <v>148844775.94999999</v>
      </c>
      <c r="E271" s="95">
        <f>VLOOKUP(A271,'Balancete 2014'!A:D,4,0)</f>
        <v>1074796645.23</v>
      </c>
      <c r="F271" s="151"/>
      <c r="I271" s="95">
        <v>829578704.90999997</v>
      </c>
      <c r="J271" s="99"/>
      <c r="L271" s="95">
        <v>21576708.93</v>
      </c>
    </row>
    <row r="272" spans="1:12">
      <c r="A272" s="92" t="s">
        <v>339</v>
      </c>
      <c r="B272" s="93">
        <v>-5</v>
      </c>
      <c r="C272" s="93" t="s">
        <v>218</v>
      </c>
      <c r="D272" s="94">
        <v>6815871.7300000004</v>
      </c>
      <c r="E272" s="95">
        <f>VLOOKUP(A272,'Balancete 2014'!A:D,4,0)</f>
        <v>9226931.5999999996</v>
      </c>
      <c r="I272" s="95">
        <v>10042533.48</v>
      </c>
      <c r="J272" s="99"/>
      <c r="L272" s="94">
        <f>+D277</f>
        <v>41161085.460000001</v>
      </c>
    </row>
    <row r="273" spans="1:14">
      <c r="A273" s="92" t="s">
        <v>219</v>
      </c>
      <c r="B273" s="93">
        <v>-9</v>
      </c>
      <c r="C273" s="93" t="s">
        <v>220</v>
      </c>
      <c r="D273" s="94">
        <v>6815871.7300000004</v>
      </c>
      <c r="E273" s="95">
        <f>VLOOKUP(A273,'Balancete 2014'!A:D,4,0)</f>
        <v>9226931.5999999996</v>
      </c>
      <c r="I273" s="95">
        <v>10042533.48</v>
      </c>
      <c r="J273" s="99"/>
      <c r="L273" s="94">
        <f>+D284</f>
        <v>1342667.12</v>
      </c>
    </row>
    <row r="274" spans="1:14">
      <c r="A274" s="92" t="s">
        <v>221</v>
      </c>
      <c r="B274" s="93">
        <v>0</v>
      </c>
      <c r="C274" s="93" t="s">
        <v>916</v>
      </c>
      <c r="D274" s="94">
        <v>6815871.7300000004</v>
      </c>
      <c r="E274" s="95">
        <f>VLOOKUP(A274,'Balancete 2014'!A:D,4,0)</f>
        <v>9226931.5999999996</v>
      </c>
      <c r="I274" s="95">
        <v>10042533.48</v>
      </c>
      <c r="J274" s="99"/>
    </row>
    <row r="275" spans="1:14">
      <c r="A275" s="92" t="s">
        <v>223</v>
      </c>
      <c r="B275" s="93">
        <v>-9</v>
      </c>
      <c r="C275" s="93" t="s">
        <v>917</v>
      </c>
      <c r="D275" s="94">
        <v>6815871.7300000004</v>
      </c>
      <c r="E275" s="95">
        <f>VLOOKUP(A275,'Balancete 2014'!A:D,4,0)</f>
        <v>9226931.5999999996</v>
      </c>
      <c r="I275" s="95">
        <v>10042533.48</v>
      </c>
      <c r="J275" s="99"/>
    </row>
    <row r="276" spans="1:14">
      <c r="A276" s="92" t="s">
        <v>340</v>
      </c>
      <c r="B276" s="93">
        <v>-3</v>
      </c>
      <c r="C276" s="93" t="s">
        <v>224</v>
      </c>
      <c r="D276" s="94">
        <v>48508310.380000003</v>
      </c>
      <c r="E276" s="95">
        <f>VLOOKUP(A276,'Balancete 2014'!A:D,4,0)</f>
        <v>82742176.739999995</v>
      </c>
      <c r="I276" s="95">
        <v>15815993.16</v>
      </c>
      <c r="J276" s="99"/>
    </row>
    <row r="277" spans="1:14">
      <c r="A277" s="92" t="s">
        <v>225</v>
      </c>
      <c r="B277" s="93">
        <v>-7</v>
      </c>
      <c r="C277" s="93" t="s">
        <v>226</v>
      </c>
      <c r="D277" s="94">
        <v>41161085.460000001</v>
      </c>
      <c r="E277" s="95">
        <f>VLOOKUP(A277,'Balancete 2014'!A:D,4,0)</f>
        <v>34524345.469999999</v>
      </c>
      <c r="I277" s="95">
        <v>15815993.16</v>
      </c>
      <c r="J277" s="99"/>
      <c r="N277" s="95"/>
    </row>
    <row r="278" spans="1:14">
      <c r="A278" s="92" t="s">
        <v>227</v>
      </c>
      <c r="B278" s="93">
        <v>-5</v>
      </c>
      <c r="C278" s="93" t="s">
        <v>869</v>
      </c>
      <c r="D278" s="94">
        <v>41161085.460000001</v>
      </c>
      <c r="E278" s="95">
        <f>VLOOKUP(A278,'Balancete 2014'!A:D,4,0)</f>
        <v>34524345.469999999</v>
      </c>
      <c r="I278" s="95">
        <v>15815993.16</v>
      </c>
      <c r="J278" s="99"/>
      <c r="N278" s="95"/>
    </row>
    <row r="279" spans="1:14">
      <c r="A279" s="92" t="s">
        <v>228</v>
      </c>
      <c r="B279" s="93">
        <v>-3</v>
      </c>
      <c r="C279" s="93" t="s">
        <v>870</v>
      </c>
      <c r="D279" s="94">
        <v>41161085.460000001</v>
      </c>
      <c r="E279" s="95">
        <f>VLOOKUP(A279,'Balancete 2014'!A:D,4,0)</f>
        <v>34524345.469999999</v>
      </c>
      <c r="I279" s="95">
        <v>15815993.16</v>
      </c>
      <c r="J279" s="99"/>
    </row>
    <row r="280" spans="1:14">
      <c r="A280" s="92" t="s">
        <v>566</v>
      </c>
      <c r="B280" s="93">
        <v>0</v>
      </c>
      <c r="C280" s="93" t="s">
        <v>567</v>
      </c>
      <c r="D280" s="94">
        <v>6004557.7999999998</v>
      </c>
      <c r="E280" s="95">
        <f>VLOOKUP(A280,'Balancete 2014'!A:D,4,0)</f>
        <v>24203959.329999998</v>
      </c>
      <c r="I280" s="95" t="e">
        <v>#N/A</v>
      </c>
      <c r="J280" s="99"/>
    </row>
    <row r="281" spans="1:14">
      <c r="A281" s="92" t="s">
        <v>568</v>
      </c>
      <c r="B281" s="93">
        <v>-9</v>
      </c>
      <c r="C281" s="93" t="s">
        <v>918</v>
      </c>
      <c r="D281" s="94">
        <v>6004557.7999999998</v>
      </c>
      <c r="E281" s="95">
        <f>VLOOKUP(A281,'Balancete 2014'!A:D,4,0)</f>
        <v>24203959.329999998</v>
      </c>
      <c r="I281" s="95" t="e">
        <v>#N/A</v>
      </c>
      <c r="J281" s="99"/>
    </row>
    <row r="282" spans="1:14">
      <c r="A282" s="92" t="s">
        <v>570</v>
      </c>
      <c r="B282" s="93">
        <v>-7</v>
      </c>
      <c r="C282" s="93" t="s">
        <v>571</v>
      </c>
      <c r="D282" s="94">
        <v>4699031.5199999996</v>
      </c>
      <c r="E282" s="95">
        <f>VLOOKUP(A282,'Balancete 2014'!A:D,4,0)</f>
        <v>21900744.82</v>
      </c>
      <c r="I282" s="95" t="e">
        <v>#N/A</v>
      </c>
      <c r="J282" s="99"/>
    </row>
    <row r="283" spans="1:14">
      <c r="A283" s="92" t="s">
        <v>572</v>
      </c>
      <c r="B283" s="93">
        <v>-5</v>
      </c>
      <c r="C283" s="93" t="s">
        <v>573</v>
      </c>
      <c r="D283" s="94">
        <v>1305526.28</v>
      </c>
      <c r="E283" s="95">
        <f>VLOOKUP(A283,'Balancete 2014'!A:D,4,0)</f>
        <v>1292261.17</v>
      </c>
      <c r="I283" s="95" t="e">
        <v>#N/A</v>
      </c>
      <c r="J283" s="99"/>
    </row>
    <row r="284" spans="1:14">
      <c r="A284" s="92" t="s">
        <v>576</v>
      </c>
      <c r="B284" s="93">
        <v>-8</v>
      </c>
      <c r="C284" s="93" t="s">
        <v>577</v>
      </c>
      <c r="D284" s="94">
        <v>1342667.12</v>
      </c>
      <c r="E284" s="95">
        <f>VLOOKUP(A284,'Balancete 2014'!A:D,4,0)</f>
        <v>24013871.940000001</v>
      </c>
      <c r="I284" s="95" t="e">
        <v>#N/A</v>
      </c>
      <c r="J284" s="99"/>
    </row>
    <row r="285" spans="1:14">
      <c r="A285" s="92" t="s">
        <v>578</v>
      </c>
      <c r="B285" s="93">
        <v>-3</v>
      </c>
      <c r="C285" s="93" t="s">
        <v>579</v>
      </c>
      <c r="D285" s="94">
        <v>1342667.12</v>
      </c>
      <c r="E285" s="95">
        <f>VLOOKUP(A285,'Balancete 2014'!A:D,4,0)</f>
        <v>24013871.940000001</v>
      </c>
      <c r="I285" s="95" t="e">
        <v>#N/A</v>
      </c>
      <c r="J285" s="99"/>
      <c r="N285" s="95"/>
    </row>
    <row r="286" spans="1:14">
      <c r="A286" s="92" t="s">
        <v>580</v>
      </c>
      <c r="B286" s="93">
        <v>-8</v>
      </c>
      <c r="C286" s="93" t="s">
        <v>581</v>
      </c>
      <c r="D286" s="94">
        <v>1342667.12</v>
      </c>
      <c r="E286" s="95">
        <f>VLOOKUP(A286,'Balancete 2014'!A:D,4,0)</f>
        <v>24013871.940000001</v>
      </c>
      <c r="I286" s="95" t="e">
        <v>#N/A</v>
      </c>
      <c r="J286" s="99"/>
      <c r="K286" s="103" t="s">
        <v>334</v>
      </c>
      <c r="L286" s="103" t="s">
        <v>43</v>
      </c>
      <c r="M286" s="104">
        <v>47042340.520000003</v>
      </c>
      <c r="N286" s="95"/>
    </row>
    <row r="287" spans="1:14">
      <c r="A287" s="134" t="s">
        <v>332</v>
      </c>
      <c r="B287" s="103">
        <v>-8</v>
      </c>
      <c r="C287" s="103" t="s">
        <v>229</v>
      </c>
      <c r="D287" s="135">
        <v>92001488.469999999</v>
      </c>
      <c r="E287" s="104">
        <f>VLOOKUP(A287,'Balancete 2014'!A:D,4,0)</f>
        <v>912414694.49000001</v>
      </c>
      <c r="F287" s="95">
        <f>+D287-M286</f>
        <v>44959147.949999996</v>
      </c>
      <c r="I287" s="95">
        <v>745887094.76999998</v>
      </c>
      <c r="J287" s="99"/>
      <c r="K287" s="103" t="s">
        <v>44</v>
      </c>
      <c r="L287" s="103" t="s">
        <v>45</v>
      </c>
      <c r="M287" s="104">
        <v>47042340.520000003</v>
      </c>
      <c r="N287" s="95"/>
    </row>
    <row r="288" spans="1:14">
      <c r="A288" s="134" t="s">
        <v>230</v>
      </c>
      <c r="B288" s="103">
        <v>-5</v>
      </c>
      <c r="C288" s="103" t="s">
        <v>231</v>
      </c>
      <c r="D288" s="135">
        <v>92001488.469999999</v>
      </c>
      <c r="E288" s="104">
        <f>VLOOKUP(A288,'Balancete 2014'!A:D,4,0)</f>
        <v>912414694.49000001</v>
      </c>
      <c r="I288" s="95">
        <v>745887094.76999998</v>
      </c>
      <c r="J288" s="99"/>
      <c r="K288" s="103" t="s">
        <v>46</v>
      </c>
      <c r="L288" s="103" t="s">
        <v>47</v>
      </c>
      <c r="M288" s="104">
        <v>47042340.520000003</v>
      </c>
      <c r="N288" s="95"/>
    </row>
    <row r="289" spans="1:15">
      <c r="A289" s="134" t="s">
        <v>232</v>
      </c>
      <c r="B289" s="103">
        <v>0</v>
      </c>
      <c r="C289" s="103" t="s">
        <v>231</v>
      </c>
      <c r="D289" s="135">
        <v>92001488.469999999</v>
      </c>
      <c r="E289" s="104">
        <f>VLOOKUP(A289,'Balancete 2014'!A:D,4,0)</f>
        <v>912414694.49000001</v>
      </c>
      <c r="I289" s="95">
        <v>745887094.76999998</v>
      </c>
      <c r="J289" s="99"/>
      <c r="K289" s="103" t="s">
        <v>48</v>
      </c>
      <c r="L289" s="103" t="s">
        <v>894</v>
      </c>
      <c r="M289" s="104">
        <v>26193235.66</v>
      </c>
      <c r="N289" s="95"/>
    </row>
    <row r="290" spans="1:15">
      <c r="A290" s="134" t="s">
        <v>233</v>
      </c>
      <c r="B290" s="103">
        <v>-5</v>
      </c>
      <c r="C290" s="103" t="s">
        <v>871</v>
      </c>
      <c r="D290" s="152">
        <v>33871260.969999999</v>
      </c>
      <c r="E290" s="104">
        <f>VLOOKUP(A290,'Balancete 2014'!A:D,4,0)</f>
        <v>879111632.69000006</v>
      </c>
      <c r="F290" s="95">
        <v>32594551.650000036</v>
      </c>
      <c r="G290" s="110">
        <f>+F290+D290</f>
        <v>66465812.620000035</v>
      </c>
      <c r="I290" s="95">
        <v>719600814.76999998</v>
      </c>
      <c r="J290" s="99"/>
      <c r="K290" s="103" t="s">
        <v>49</v>
      </c>
      <c r="L290" s="103" t="s">
        <v>895</v>
      </c>
      <c r="M290" s="104">
        <v>11640427.859999999</v>
      </c>
      <c r="N290" s="95">
        <v>12121564.119999999</v>
      </c>
      <c r="O290" s="100">
        <f>+N290+M290</f>
        <v>23761991.979999997</v>
      </c>
    </row>
    <row r="291" spans="1:15">
      <c r="A291" s="134" t="s">
        <v>234</v>
      </c>
      <c r="B291" s="103">
        <v>-2</v>
      </c>
      <c r="C291" s="103" t="s">
        <v>235</v>
      </c>
      <c r="D291" s="135">
        <v>58130227.5</v>
      </c>
      <c r="E291" s="104">
        <f>VLOOKUP(A291,'Balancete 2014'!A:D,4,0)</f>
        <v>33303061.800000001</v>
      </c>
      <c r="F291" s="95">
        <v>6783642</v>
      </c>
      <c r="G291" s="95">
        <f>+G290/1000</f>
        <v>66465.812620000041</v>
      </c>
      <c r="I291" s="95">
        <v>26286280</v>
      </c>
      <c r="J291" s="99"/>
      <c r="K291" s="103" t="s">
        <v>50</v>
      </c>
      <c r="L291" s="103" t="s">
        <v>969</v>
      </c>
      <c r="M291" s="104">
        <v>9208677</v>
      </c>
      <c r="N291" s="95"/>
    </row>
    <row r="292" spans="1:15">
      <c r="A292" s="92" t="s">
        <v>335</v>
      </c>
      <c r="B292" s="93">
        <v>-6</v>
      </c>
      <c r="C292" s="93" t="s">
        <v>236</v>
      </c>
      <c r="D292" s="94">
        <v>1519105.37</v>
      </c>
      <c r="E292" s="95">
        <f>VLOOKUP(A292,'Balancete 2014'!A:D,4,0)</f>
        <v>70412842.400000006</v>
      </c>
      <c r="G292" s="95">
        <v>-67565</v>
      </c>
      <c r="I292" s="95">
        <v>57833083.5</v>
      </c>
      <c r="J292" s="99"/>
    </row>
    <row r="293" spans="1:15">
      <c r="A293" s="92" t="s">
        <v>237</v>
      </c>
      <c r="B293" s="93">
        <v>0</v>
      </c>
      <c r="C293" s="93" t="s">
        <v>238</v>
      </c>
      <c r="D293" s="94">
        <v>1519105.37</v>
      </c>
      <c r="E293" s="95">
        <f>VLOOKUP(A293,'Balancete 2014'!A:D,4,0)</f>
        <v>70412842.400000006</v>
      </c>
      <c r="G293" s="95">
        <f>+G292+G291</f>
        <v>-1099.1873799999594</v>
      </c>
      <c r="I293" s="95">
        <v>57833083.5</v>
      </c>
      <c r="J293" s="99"/>
    </row>
    <row r="294" spans="1:15">
      <c r="A294" s="92" t="s">
        <v>336</v>
      </c>
      <c r="B294" s="93">
        <v>-9</v>
      </c>
      <c r="C294" s="93" t="s">
        <v>872</v>
      </c>
      <c r="D294" s="94">
        <v>1467694.4</v>
      </c>
      <c r="E294" s="95">
        <f>VLOOKUP(A294,'Balancete 2014'!A:D,4,0)</f>
        <v>70412757.760000005</v>
      </c>
      <c r="I294" s="95">
        <v>57547444.619999997</v>
      </c>
      <c r="J294" s="99"/>
    </row>
    <row r="295" spans="1:15">
      <c r="A295" s="92" t="s">
        <v>333</v>
      </c>
      <c r="B295" s="93">
        <v>-1</v>
      </c>
      <c r="C295" s="93" t="s">
        <v>873</v>
      </c>
      <c r="D295" s="94">
        <v>1467694.4</v>
      </c>
      <c r="E295" s="95">
        <f>VLOOKUP(A295,'Balancete 2014'!A:D,4,0)</f>
        <v>70412757.760000005</v>
      </c>
      <c r="I295" s="95">
        <v>39323335.810000002</v>
      </c>
      <c r="J295" s="99"/>
      <c r="L295" s="93">
        <v>35692463.979999997</v>
      </c>
    </row>
    <row r="296" spans="1:15">
      <c r="A296" s="92" t="s">
        <v>241</v>
      </c>
      <c r="B296" s="93">
        <v>-9</v>
      </c>
      <c r="C296" s="93" t="s">
        <v>586</v>
      </c>
      <c r="D296" s="94">
        <v>51410.97</v>
      </c>
      <c r="E296" s="95">
        <f>VLOOKUP(A296,'Balancete 2014'!A:D,4,0)</f>
        <v>72.78</v>
      </c>
      <c r="G296" s="95">
        <v>-46716566.289999962</v>
      </c>
      <c r="I296" s="95">
        <v>373.35</v>
      </c>
      <c r="J296" s="99"/>
    </row>
    <row r="297" spans="1:15">
      <c r="A297" s="92" t="s">
        <v>919</v>
      </c>
      <c r="B297" s="93">
        <v>0</v>
      </c>
      <c r="C297" s="93" t="s">
        <v>920</v>
      </c>
      <c r="D297" s="94">
        <v>51410.97</v>
      </c>
      <c r="E297" s="95" t="e">
        <f>VLOOKUP(A297,'Balancete 2014'!A:D,4,0)</f>
        <v>#N/A</v>
      </c>
      <c r="G297" s="95">
        <f>+D290-M289</f>
        <v>7678025.3099999987</v>
      </c>
      <c r="I297" s="95" t="e">
        <v>#N/A</v>
      </c>
      <c r="J297" s="99"/>
    </row>
    <row r="298" spans="1:15">
      <c r="A298" s="92">
        <v>9</v>
      </c>
      <c r="B298" s="93">
        <v>-8</v>
      </c>
      <c r="C298" s="93" t="s">
        <v>625</v>
      </c>
      <c r="D298" s="94">
        <v>98361900.319999993</v>
      </c>
      <c r="E298" s="95">
        <f>VLOOKUP(A298,'Balancete 2014'!A:D,4,0)</f>
        <v>74647059.890000001</v>
      </c>
      <c r="G298" s="95">
        <f>+G297+G296</f>
        <v>-39038540.979999959</v>
      </c>
      <c r="I298" s="95">
        <v>50217802.609999999</v>
      </c>
      <c r="J298" s="99"/>
    </row>
    <row r="299" spans="1:15">
      <c r="A299" s="92" t="s">
        <v>639</v>
      </c>
      <c r="B299" s="93">
        <v>-8</v>
      </c>
      <c r="C299" s="93" t="s">
        <v>625</v>
      </c>
      <c r="D299" s="94">
        <v>98361900.319999993</v>
      </c>
      <c r="E299" s="95">
        <f>VLOOKUP(A299,'Balancete 2014'!A:D,4,0)</f>
        <v>74647059.890000001</v>
      </c>
      <c r="I299" s="95">
        <v>50217802.609999999</v>
      </c>
      <c r="J299" s="99"/>
    </row>
    <row r="300" spans="1:15">
      <c r="A300" s="92" t="s">
        <v>640</v>
      </c>
      <c r="B300" s="93">
        <v>-1</v>
      </c>
      <c r="C300" s="93" t="s">
        <v>628</v>
      </c>
      <c r="D300" s="94">
        <v>98361900.319999993</v>
      </c>
      <c r="E300" s="95">
        <f>VLOOKUP(A300,'Balancete 2014'!A:D,4,0)</f>
        <v>74647059.890000001</v>
      </c>
      <c r="G300" s="95">
        <v>67093387.280000001</v>
      </c>
      <c r="I300" s="95">
        <v>50217802.609999999</v>
      </c>
      <c r="J300" s="99"/>
    </row>
    <row r="301" spans="1:15">
      <c r="A301" s="92" t="s">
        <v>641</v>
      </c>
      <c r="B301" s="93">
        <v>-5</v>
      </c>
      <c r="C301" s="93" t="s">
        <v>642</v>
      </c>
      <c r="D301" s="94">
        <v>98361900.319999993</v>
      </c>
      <c r="E301" s="95">
        <f>VLOOKUP(A301,'Balancete 2014'!A:D,4,0)</f>
        <v>74647059.890000001</v>
      </c>
      <c r="G301" s="95">
        <f>+G300-G290</f>
        <v>627574.65999996662</v>
      </c>
      <c r="I301" s="95">
        <v>50217802.609999999</v>
      </c>
      <c r="J301" s="99"/>
    </row>
    <row r="302" spans="1:15">
      <c r="A302" s="92" t="s">
        <v>643</v>
      </c>
      <c r="B302" s="93">
        <v>-1</v>
      </c>
      <c r="C302" s="93" t="s">
        <v>644</v>
      </c>
      <c r="D302" s="94">
        <v>98361900.319999993</v>
      </c>
      <c r="E302" s="95">
        <f>VLOOKUP(A302,'Balancete 2014'!A:D,4,0)</f>
        <v>74647059.890000001</v>
      </c>
      <c r="I302" s="95">
        <v>50217802.609999999</v>
      </c>
      <c r="J302" s="99"/>
    </row>
    <row r="303" spans="1:15">
      <c r="A303" s="92" t="s">
        <v>645</v>
      </c>
      <c r="B303" s="93">
        <v>-6</v>
      </c>
      <c r="C303" s="93" t="s">
        <v>646</v>
      </c>
      <c r="D303" s="94">
        <v>42865000</v>
      </c>
      <c r="E303" s="95">
        <f>VLOOKUP(A303,'Balancete 2014'!A:D,4,0)</f>
        <v>35006416.810000002</v>
      </c>
      <c r="I303" s="95">
        <v>26433416.77</v>
      </c>
      <c r="J303" s="99"/>
    </row>
    <row r="304" spans="1:15">
      <c r="A304" s="92" t="s">
        <v>647</v>
      </c>
      <c r="B304" s="93">
        <v>-4</v>
      </c>
      <c r="C304" s="93" t="s">
        <v>648</v>
      </c>
      <c r="D304" s="94">
        <v>55496900.32</v>
      </c>
      <c r="E304" s="95">
        <f>VLOOKUP(A304,'Balancete 2014'!A:D,4,0)</f>
        <v>39640643.079999998</v>
      </c>
      <c r="I304" s="95">
        <v>23784385.84</v>
      </c>
      <c r="J304" s="99"/>
    </row>
    <row r="305" spans="1:4">
      <c r="A305" s="92"/>
    </row>
    <row r="306" spans="1:4">
      <c r="A306" s="92"/>
      <c r="D306" s="93" t="s">
        <v>972</v>
      </c>
    </row>
    <row r="307" spans="1:4">
      <c r="A307" s="92"/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4">
      <c r="A337" s="92"/>
    </row>
    <row r="338" spans="1:4">
      <c r="A338" s="92"/>
    </row>
    <row r="339" spans="1:4">
      <c r="A339" s="92"/>
    </row>
    <row r="340" spans="1:4">
      <c r="A340" s="92"/>
    </row>
    <row r="341" spans="1:4">
      <c r="A341" s="92"/>
    </row>
    <row r="343" spans="1:4">
      <c r="A343" s="92" t="s">
        <v>960</v>
      </c>
      <c r="B343" s="93" t="s">
        <v>674</v>
      </c>
      <c r="C343" s="93" t="s">
        <v>961</v>
      </c>
      <c r="D343" s="93" t="s">
        <v>973</v>
      </c>
    </row>
    <row r="344" spans="1:4">
      <c r="A344" s="97">
        <v>0.70958333333333334</v>
      </c>
      <c r="C344" s="93" t="s">
        <v>962</v>
      </c>
      <c r="D344" s="93" t="s">
        <v>963</v>
      </c>
    </row>
    <row r="345" spans="1:4">
      <c r="A345" s="92" t="s">
        <v>651</v>
      </c>
      <c r="B345" s="93" t="s">
        <v>652</v>
      </c>
      <c r="C345" s="93" t="s">
        <v>970</v>
      </c>
      <c r="D345" s="93" t="s">
        <v>971</v>
      </c>
    </row>
    <row r="346" spans="1:4">
      <c r="A346" s="92" t="s">
        <v>616</v>
      </c>
      <c r="B346" s="93" t="s">
        <v>617</v>
      </c>
      <c r="C346" s="93" t="s">
        <v>966</v>
      </c>
      <c r="D346" s="93" t="s">
        <v>967</v>
      </c>
    </row>
    <row r="347" spans="1:4">
      <c r="A347" s="92"/>
      <c r="C347" s="93" t="s">
        <v>974</v>
      </c>
      <c r="D347" s="93" t="s">
        <v>975</v>
      </c>
    </row>
    <row r="348" spans="1:4">
      <c r="A348" s="92" t="s">
        <v>616</v>
      </c>
      <c r="B348" s="93" t="s">
        <v>617</v>
      </c>
      <c r="C348" s="93" t="s">
        <v>966</v>
      </c>
      <c r="D348" s="93" t="s">
        <v>967</v>
      </c>
    </row>
    <row r="349" spans="1:4">
      <c r="A349" s="92"/>
    </row>
    <row r="350" spans="1:4">
      <c r="A350" s="92"/>
    </row>
    <row r="351" spans="1:4">
      <c r="A351" s="92"/>
    </row>
    <row r="352" spans="1:4">
      <c r="A352" s="92"/>
    </row>
    <row r="353" spans="1:3">
      <c r="A353" s="92"/>
    </row>
    <row r="354" spans="1:3">
      <c r="A354" s="92"/>
    </row>
    <row r="355" spans="1:3">
      <c r="A355" s="92"/>
    </row>
    <row r="356" spans="1:3">
      <c r="A356" s="92" t="s">
        <v>921</v>
      </c>
      <c r="B356" s="92" t="s">
        <v>922</v>
      </c>
      <c r="C356" s="93" t="s">
        <v>923</v>
      </c>
    </row>
    <row r="357" spans="1:3">
      <c r="A357" s="92" t="s">
        <v>874</v>
      </c>
      <c r="B357" s="93" t="s">
        <v>924</v>
      </c>
      <c r="C357" s="93" t="s">
        <v>925</v>
      </c>
    </row>
    <row r="358" spans="1:3">
      <c r="A358" s="92"/>
    </row>
    <row r="359" spans="1:3">
      <c r="A359" s="92"/>
    </row>
    <row r="360" spans="1:3">
      <c r="A360" s="92"/>
    </row>
    <row r="361" spans="1:3">
      <c r="A361" s="92"/>
    </row>
    <row r="362" spans="1:3">
      <c r="A362" s="92"/>
    </row>
    <row r="363" spans="1:3">
      <c r="A363" s="92"/>
    </row>
    <row r="364" spans="1:3">
      <c r="A364" s="92"/>
    </row>
    <row r="365" spans="1:3">
      <c r="A365" s="92"/>
    </row>
    <row r="366" spans="1:3">
      <c r="A366" s="92" t="s">
        <v>926</v>
      </c>
      <c r="B366" s="93" t="s">
        <v>927</v>
      </c>
      <c r="C366" s="93" t="s">
        <v>928</v>
      </c>
    </row>
    <row r="367" spans="1:3">
      <c r="A367" s="92" t="s">
        <v>685</v>
      </c>
      <c r="B367" s="93" t="s">
        <v>686</v>
      </c>
      <c r="C367" s="93" t="s">
        <v>929</v>
      </c>
    </row>
    <row r="368" spans="1:3">
      <c r="A368" s="92"/>
    </row>
    <row r="369" spans="1:3">
      <c r="A369" s="92"/>
    </row>
    <row r="370" spans="1:3">
      <c r="A370" s="92"/>
    </row>
    <row r="371" spans="1:3">
      <c r="A371" s="92"/>
    </row>
    <row r="372" spans="1:3">
      <c r="A372" s="92"/>
    </row>
    <row r="373" spans="1:3">
      <c r="A373" s="92"/>
    </row>
    <row r="374" spans="1:3">
      <c r="A374" s="92"/>
    </row>
    <row r="375" spans="1:3">
      <c r="A375" s="92"/>
    </row>
    <row r="376" spans="1:3">
      <c r="A376" s="92" t="s">
        <v>930</v>
      </c>
      <c r="B376" s="93" t="s">
        <v>931</v>
      </c>
      <c r="C376" s="93" t="s">
        <v>932</v>
      </c>
    </row>
    <row r="377" spans="1:3">
      <c r="A377" s="92" t="s">
        <v>933</v>
      </c>
      <c r="B377" s="93" t="s">
        <v>934</v>
      </c>
      <c r="C377" s="93" t="s">
        <v>935</v>
      </c>
    </row>
    <row r="378" spans="1:3">
      <c r="A378" s="92" t="s">
        <v>936</v>
      </c>
      <c r="B378" s="93" t="s">
        <v>242</v>
      </c>
      <c r="C378" s="93" t="s">
        <v>937</v>
      </c>
    </row>
    <row r="379" spans="1:3">
      <c r="A379" s="92"/>
    </row>
    <row r="380" spans="1:3">
      <c r="A380" s="9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M315"/>
  <sheetViews>
    <sheetView topLeftCell="A4" workbookViewId="0">
      <selection activeCell="N270" sqref="N270"/>
    </sheetView>
  </sheetViews>
  <sheetFormatPr defaultRowHeight="12.75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>
      <c r="A1" s="36" t="s">
        <v>939</v>
      </c>
      <c r="B1" t="s">
        <v>674</v>
      </c>
      <c r="C1" t="s">
        <v>875</v>
      </c>
      <c r="D1" t="s">
        <v>791</v>
      </c>
    </row>
    <row r="2" spans="1:4">
      <c r="A2" s="49">
        <v>0.71186342592592589</v>
      </c>
      <c r="C2" t="s">
        <v>792</v>
      </c>
      <c r="D2" t="s">
        <v>793</v>
      </c>
    </row>
    <row r="3" spans="1:4">
      <c r="A3" s="36" t="s">
        <v>651</v>
      </c>
      <c r="B3" t="s">
        <v>652</v>
      </c>
      <c r="C3" t="s">
        <v>876</v>
      </c>
      <c r="D3" t="s">
        <v>940</v>
      </c>
    </row>
    <row r="4" spans="1:4">
      <c r="A4" s="36" t="s">
        <v>616</v>
      </c>
      <c r="B4" t="s">
        <v>617</v>
      </c>
      <c r="C4" t="s">
        <v>877</v>
      </c>
      <c r="D4" t="s">
        <v>794</v>
      </c>
    </row>
    <row r="5" spans="1:4">
      <c r="A5" s="36" t="s">
        <v>618</v>
      </c>
      <c r="B5" t="s">
        <v>619</v>
      </c>
      <c r="C5" t="s">
        <v>620</v>
      </c>
    </row>
    <row r="6" spans="1:4">
      <c r="A6" s="36" t="s">
        <v>616</v>
      </c>
      <c r="B6" t="s">
        <v>617</v>
      </c>
      <c r="C6" t="s">
        <v>877</v>
      </c>
      <c r="D6" t="s">
        <v>794</v>
      </c>
    </row>
    <row r="7" spans="1:4">
      <c r="A7" s="36">
        <v>1</v>
      </c>
      <c r="B7">
        <v>-7</v>
      </c>
      <c r="C7" t="s">
        <v>345</v>
      </c>
      <c r="D7" s="2">
        <v>1796685811.5999999</v>
      </c>
    </row>
    <row r="8" spans="1:4">
      <c r="A8" s="36" t="s">
        <v>315</v>
      </c>
      <c r="B8">
        <v>-4</v>
      </c>
      <c r="C8" t="s">
        <v>346</v>
      </c>
      <c r="D8">
        <v>619.99</v>
      </c>
    </row>
    <row r="9" spans="1:4">
      <c r="A9" s="36" t="s">
        <v>347</v>
      </c>
      <c r="B9">
        <v>-2</v>
      </c>
      <c r="C9" t="s">
        <v>348</v>
      </c>
      <c r="D9">
        <v>568.01</v>
      </c>
    </row>
    <row r="10" spans="1:4">
      <c r="A10" s="36" t="s">
        <v>349</v>
      </c>
      <c r="B10">
        <v>0</v>
      </c>
      <c r="C10" t="s">
        <v>348</v>
      </c>
      <c r="D10">
        <v>568.01</v>
      </c>
    </row>
    <row r="11" spans="1:4">
      <c r="A11" s="36" t="s">
        <v>351</v>
      </c>
      <c r="B11">
        <v>-5</v>
      </c>
      <c r="C11" t="s">
        <v>348</v>
      </c>
      <c r="D11">
        <v>568.01</v>
      </c>
    </row>
    <row r="12" spans="1:4">
      <c r="A12" s="36" t="s">
        <v>352</v>
      </c>
      <c r="B12">
        <v>-3</v>
      </c>
      <c r="C12" t="s">
        <v>348</v>
      </c>
      <c r="D12">
        <v>568.01</v>
      </c>
    </row>
    <row r="13" spans="1:4">
      <c r="A13" s="36" t="s">
        <v>353</v>
      </c>
      <c r="B13">
        <v>0</v>
      </c>
      <c r="C13" t="s">
        <v>354</v>
      </c>
      <c r="D13">
        <v>51.98</v>
      </c>
    </row>
    <row r="14" spans="1:4">
      <c r="A14" s="36" t="s">
        <v>355</v>
      </c>
      <c r="B14">
        <v>-2</v>
      </c>
      <c r="C14" t="s">
        <v>354</v>
      </c>
      <c r="D14">
        <v>51.98</v>
      </c>
    </row>
    <row r="15" spans="1:4">
      <c r="A15" s="36" t="s">
        <v>356</v>
      </c>
      <c r="B15">
        <v>-8</v>
      </c>
      <c r="C15" t="s">
        <v>354</v>
      </c>
      <c r="D15">
        <v>51.98</v>
      </c>
    </row>
    <row r="16" spans="1:4">
      <c r="A16" s="36" t="s">
        <v>357</v>
      </c>
      <c r="B16">
        <v>-6</v>
      </c>
      <c r="C16" t="s">
        <v>354</v>
      </c>
      <c r="D16">
        <v>51.98</v>
      </c>
    </row>
    <row r="17" spans="1:4">
      <c r="A17" s="36" t="s">
        <v>316</v>
      </c>
      <c r="B17">
        <v>-1</v>
      </c>
      <c r="C17" t="s">
        <v>358</v>
      </c>
      <c r="D17" s="2">
        <v>99560048.340000004</v>
      </c>
    </row>
    <row r="18" spans="1:4">
      <c r="A18" s="36" t="s">
        <v>359</v>
      </c>
      <c r="B18">
        <v>0</v>
      </c>
      <c r="C18" t="s">
        <v>360</v>
      </c>
      <c r="D18" s="2">
        <v>99560048.340000004</v>
      </c>
    </row>
    <row r="19" spans="1:4">
      <c r="A19" s="36" t="s">
        <v>361</v>
      </c>
      <c r="B19">
        <v>-3</v>
      </c>
      <c r="C19" t="s">
        <v>362</v>
      </c>
      <c r="D19" s="2">
        <v>99560048.340000004</v>
      </c>
    </row>
    <row r="20" spans="1:4">
      <c r="A20" s="36" t="s">
        <v>371</v>
      </c>
      <c r="B20">
        <v>-8</v>
      </c>
      <c r="C20" t="s">
        <v>372</v>
      </c>
      <c r="D20" s="2">
        <v>99560048.340000004</v>
      </c>
    </row>
    <row r="21" spans="1:4">
      <c r="A21" s="36" t="s">
        <v>373</v>
      </c>
      <c r="B21">
        <v>-9</v>
      </c>
      <c r="C21" t="s">
        <v>878</v>
      </c>
      <c r="D21" s="2">
        <v>99560048.340000004</v>
      </c>
    </row>
    <row r="22" spans="1:4">
      <c r="A22" s="36" t="s">
        <v>364</v>
      </c>
      <c r="B22">
        <v>-9</v>
      </c>
      <c r="C22" t="s">
        <v>365</v>
      </c>
      <c r="D22" s="2">
        <v>1566166083.28</v>
      </c>
    </row>
    <row r="23" spans="1:4">
      <c r="A23" s="36" t="s">
        <v>366</v>
      </c>
      <c r="B23">
        <v>-7</v>
      </c>
      <c r="C23" t="s">
        <v>367</v>
      </c>
      <c r="D23" s="2">
        <v>1566166083.28</v>
      </c>
    </row>
    <row r="24" spans="1:4">
      <c r="A24" s="36" t="s">
        <v>318</v>
      </c>
      <c r="B24">
        <v>0</v>
      </c>
      <c r="C24" t="s">
        <v>0</v>
      </c>
      <c r="D24" s="2">
        <v>598905331.42999995</v>
      </c>
    </row>
    <row r="25" spans="1:4">
      <c r="A25" s="36" t="s">
        <v>1</v>
      </c>
      <c r="B25">
        <v>-7</v>
      </c>
      <c r="C25" t="s">
        <v>2</v>
      </c>
      <c r="D25" s="2">
        <v>598905331.42999995</v>
      </c>
    </row>
    <row r="26" spans="1:4">
      <c r="A26" s="36" t="s">
        <v>3</v>
      </c>
      <c r="B26">
        <v>-5</v>
      </c>
      <c r="C26" t="s">
        <v>795</v>
      </c>
      <c r="D26" s="2">
        <v>598905331.42999995</v>
      </c>
    </row>
    <row r="27" spans="1:4">
      <c r="A27" s="36" t="s">
        <v>376</v>
      </c>
      <c r="B27">
        <v>-3</v>
      </c>
      <c r="C27" t="s">
        <v>377</v>
      </c>
      <c r="D27" s="2">
        <v>23807913.690000001</v>
      </c>
    </row>
    <row r="28" spans="1:4">
      <c r="A28" s="36" t="s">
        <v>378</v>
      </c>
      <c r="B28">
        <v>-6</v>
      </c>
      <c r="C28" t="s">
        <v>379</v>
      </c>
      <c r="D28" s="2">
        <v>23807913.690000001</v>
      </c>
    </row>
    <row r="29" spans="1:4">
      <c r="A29" s="36" t="s">
        <v>380</v>
      </c>
      <c r="B29">
        <v>-4</v>
      </c>
      <c r="C29" t="s">
        <v>879</v>
      </c>
      <c r="D29" s="2">
        <v>23807913.690000001</v>
      </c>
    </row>
    <row r="30" spans="1:4">
      <c r="A30" s="36" t="s">
        <v>317</v>
      </c>
      <c r="B30">
        <v>-4</v>
      </c>
      <c r="C30" t="s">
        <v>4</v>
      </c>
      <c r="D30" s="2">
        <v>943452838.15999997</v>
      </c>
    </row>
    <row r="31" spans="1:4">
      <c r="A31" s="36" t="s">
        <v>5</v>
      </c>
      <c r="B31">
        <v>0</v>
      </c>
      <c r="C31" t="s">
        <v>6</v>
      </c>
      <c r="D31" s="2">
        <v>943452838.15999997</v>
      </c>
    </row>
    <row r="32" spans="1:4">
      <c r="A32" s="36" t="s">
        <v>7</v>
      </c>
      <c r="B32">
        <v>-7</v>
      </c>
      <c r="C32" t="s">
        <v>880</v>
      </c>
      <c r="D32" s="2">
        <v>943452838.15999997</v>
      </c>
    </row>
    <row r="33" spans="1:4">
      <c r="A33" s="36" t="s">
        <v>12</v>
      </c>
      <c r="B33">
        <v>-5</v>
      </c>
      <c r="C33" t="s">
        <v>13</v>
      </c>
      <c r="D33" s="2">
        <v>130959059.98999999</v>
      </c>
    </row>
    <row r="34" spans="1:4">
      <c r="A34" s="36" t="s">
        <v>319</v>
      </c>
      <c r="B34">
        <v>0</v>
      </c>
      <c r="C34" t="s">
        <v>14</v>
      </c>
      <c r="D34" s="2">
        <v>108297389.05</v>
      </c>
    </row>
    <row r="35" spans="1:4">
      <c r="A35" s="36" t="s">
        <v>15</v>
      </c>
      <c r="B35">
        <v>-1</v>
      </c>
      <c r="C35" t="s">
        <v>16</v>
      </c>
      <c r="D35" s="2">
        <v>108297389.05</v>
      </c>
    </row>
    <row r="36" spans="1:4">
      <c r="A36" s="36" t="s">
        <v>17</v>
      </c>
      <c r="B36">
        <v>-3</v>
      </c>
      <c r="C36" t="s">
        <v>796</v>
      </c>
      <c r="D36" s="2">
        <v>108297389.05</v>
      </c>
    </row>
    <row r="37" spans="1:4">
      <c r="A37" s="36" t="s">
        <v>18</v>
      </c>
      <c r="B37">
        <v>-1</v>
      </c>
      <c r="C37" t="s">
        <v>797</v>
      </c>
      <c r="D37" s="2">
        <v>30338545.57</v>
      </c>
    </row>
    <row r="38" spans="1:4">
      <c r="A38" s="36" t="s">
        <v>19</v>
      </c>
      <c r="B38">
        <v>0</v>
      </c>
      <c r="C38" t="s">
        <v>798</v>
      </c>
      <c r="D38" s="2">
        <v>77958843.480000004</v>
      </c>
    </row>
    <row r="39" spans="1:4">
      <c r="A39" s="36" t="s">
        <v>320</v>
      </c>
      <c r="B39">
        <v>0</v>
      </c>
      <c r="C39" t="s">
        <v>20</v>
      </c>
      <c r="D39" s="2">
        <v>22661670.940000001</v>
      </c>
    </row>
    <row r="40" spans="1:4">
      <c r="A40" s="36" t="s">
        <v>21</v>
      </c>
      <c r="B40">
        <v>0</v>
      </c>
      <c r="C40" t="s">
        <v>22</v>
      </c>
      <c r="D40" s="2">
        <v>53226.58</v>
      </c>
    </row>
    <row r="41" spans="1:4">
      <c r="A41" s="36" t="s">
        <v>23</v>
      </c>
      <c r="B41">
        <v>-4</v>
      </c>
      <c r="C41" t="s">
        <v>386</v>
      </c>
      <c r="D41" s="2">
        <v>53226.58</v>
      </c>
    </row>
    <row r="42" spans="1:4">
      <c r="A42" s="36" t="s">
        <v>24</v>
      </c>
      <c r="B42">
        <v>-2</v>
      </c>
      <c r="C42" t="s">
        <v>799</v>
      </c>
      <c r="D42" s="2">
        <v>39137.19</v>
      </c>
    </row>
    <row r="43" spans="1:4">
      <c r="A43" s="36" t="s">
        <v>25</v>
      </c>
      <c r="B43">
        <v>0</v>
      </c>
      <c r="C43" t="s">
        <v>800</v>
      </c>
      <c r="D43" s="2">
        <v>14089.39</v>
      </c>
    </row>
    <row r="44" spans="1:4">
      <c r="A44" s="36" t="s">
        <v>26</v>
      </c>
      <c r="B44">
        <v>-8</v>
      </c>
      <c r="C44" t="s">
        <v>27</v>
      </c>
      <c r="D44" s="2">
        <v>22600704.329999998</v>
      </c>
    </row>
    <row r="45" spans="1:4">
      <c r="A45" s="36" t="s">
        <v>389</v>
      </c>
      <c r="B45">
        <v>0</v>
      </c>
      <c r="C45" t="s">
        <v>941</v>
      </c>
      <c r="D45" s="2">
        <v>22547159.850000001</v>
      </c>
    </row>
    <row r="46" spans="1:4">
      <c r="A46" s="36" t="s">
        <v>391</v>
      </c>
      <c r="B46">
        <v>-8</v>
      </c>
      <c r="C46" t="s">
        <v>942</v>
      </c>
      <c r="D46" s="2">
        <v>7589646.5700000003</v>
      </c>
    </row>
    <row r="47" spans="1:4">
      <c r="A47" s="36" t="s">
        <v>393</v>
      </c>
      <c r="B47">
        <v>-6</v>
      </c>
      <c r="C47" t="s">
        <v>943</v>
      </c>
      <c r="D47" s="2">
        <v>9801416.6500000004</v>
      </c>
    </row>
    <row r="48" spans="1:4">
      <c r="A48" s="36" t="s">
        <v>395</v>
      </c>
      <c r="B48">
        <v>-2</v>
      </c>
      <c r="C48" t="s">
        <v>944</v>
      </c>
      <c r="D48" s="2">
        <v>5156096.63</v>
      </c>
    </row>
    <row r="49" spans="1:4">
      <c r="A49" s="36" t="s">
        <v>675</v>
      </c>
      <c r="B49">
        <v>-5</v>
      </c>
      <c r="C49" t="s">
        <v>741</v>
      </c>
      <c r="D49" s="2">
        <v>53544.480000000003</v>
      </c>
    </row>
    <row r="50" spans="1:4">
      <c r="A50" s="36" t="s">
        <v>676</v>
      </c>
      <c r="B50">
        <v>-3</v>
      </c>
      <c r="C50" t="s">
        <v>881</v>
      </c>
      <c r="D50" s="2">
        <v>53544.480000000003</v>
      </c>
    </row>
    <row r="51" spans="1:4">
      <c r="A51" s="36" t="s">
        <v>302</v>
      </c>
      <c r="B51">
        <v>-2</v>
      </c>
      <c r="C51" t="s">
        <v>303</v>
      </c>
      <c r="D51" s="2">
        <v>7740.03</v>
      </c>
    </row>
    <row r="52" spans="1:4">
      <c r="A52" s="36" t="s">
        <v>304</v>
      </c>
      <c r="B52">
        <v>-7</v>
      </c>
      <c r="C52" t="s">
        <v>303</v>
      </c>
      <c r="D52" s="2">
        <v>7740.03</v>
      </c>
    </row>
    <row r="53" spans="1:4">
      <c r="A53" s="36" t="s">
        <v>305</v>
      </c>
      <c r="B53">
        <v>-4</v>
      </c>
      <c r="C53" t="s">
        <v>888</v>
      </c>
      <c r="D53" s="2">
        <v>7740.03</v>
      </c>
    </row>
    <row r="54" spans="1:4">
      <c r="A54" s="36">
        <v>2</v>
      </c>
      <c r="B54">
        <v>-3</v>
      </c>
      <c r="C54" t="s">
        <v>621</v>
      </c>
      <c r="D54" s="2">
        <v>4845754743.46</v>
      </c>
    </row>
    <row r="55" spans="1:4">
      <c r="A55" s="36" t="s">
        <v>321</v>
      </c>
      <c r="B55">
        <v>0</v>
      </c>
      <c r="C55" t="s">
        <v>28</v>
      </c>
      <c r="D55" s="2">
        <v>4845754743.46</v>
      </c>
    </row>
    <row r="56" spans="1:4">
      <c r="A56" s="36" t="s">
        <v>29</v>
      </c>
      <c r="B56">
        <v>-7</v>
      </c>
      <c r="C56" t="s">
        <v>30</v>
      </c>
      <c r="D56" s="2">
        <v>4845754743.46</v>
      </c>
    </row>
    <row r="57" spans="1:4">
      <c r="A57" s="36" t="s">
        <v>31</v>
      </c>
      <c r="B57">
        <v>0</v>
      </c>
      <c r="C57" t="s">
        <v>32</v>
      </c>
      <c r="D57" s="2">
        <v>4845754743.46</v>
      </c>
    </row>
    <row r="58" spans="1:4">
      <c r="A58" s="36" t="s">
        <v>268</v>
      </c>
      <c r="B58">
        <v>-2</v>
      </c>
      <c r="C58" t="s">
        <v>398</v>
      </c>
      <c r="D58" s="2">
        <v>1446294528.3</v>
      </c>
    </row>
    <row r="59" spans="1:4">
      <c r="A59" s="36" t="s">
        <v>269</v>
      </c>
      <c r="B59">
        <v>0</v>
      </c>
      <c r="C59" t="s">
        <v>589</v>
      </c>
      <c r="D59" s="2">
        <v>1447247167.49</v>
      </c>
    </row>
    <row r="60" spans="1:4">
      <c r="A60" s="36" t="s">
        <v>653</v>
      </c>
      <c r="B60">
        <v>-9</v>
      </c>
      <c r="C60" t="s">
        <v>654</v>
      </c>
      <c r="D60" s="2">
        <v>-952639.19</v>
      </c>
    </row>
    <row r="61" spans="1:4">
      <c r="A61" s="36" t="s">
        <v>270</v>
      </c>
      <c r="B61">
        <v>-9</v>
      </c>
      <c r="C61" t="s">
        <v>399</v>
      </c>
      <c r="D61" s="2">
        <v>176358000</v>
      </c>
    </row>
    <row r="62" spans="1:4">
      <c r="A62" s="36" t="s">
        <v>271</v>
      </c>
      <c r="B62">
        <v>-7</v>
      </c>
      <c r="C62" t="s">
        <v>400</v>
      </c>
      <c r="D62" s="2">
        <v>176358000</v>
      </c>
    </row>
    <row r="63" spans="1:4">
      <c r="A63" s="36" t="s">
        <v>272</v>
      </c>
      <c r="B63">
        <v>-1</v>
      </c>
      <c r="C63" t="s">
        <v>401</v>
      </c>
      <c r="D63" s="2">
        <v>34292735.020000003</v>
      </c>
    </row>
    <row r="64" spans="1:4">
      <c r="A64" s="36" t="s">
        <v>273</v>
      </c>
      <c r="B64">
        <v>0</v>
      </c>
      <c r="C64" t="s">
        <v>402</v>
      </c>
      <c r="D64" s="2">
        <v>162276000</v>
      </c>
    </row>
    <row r="65" spans="1:4">
      <c r="A65" s="36" t="s">
        <v>274</v>
      </c>
      <c r="B65">
        <v>-8</v>
      </c>
      <c r="C65" t="s">
        <v>403</v>
      </c>
      <c r="D65" s="2">
        <v>-127983264.98</v>
      </c>
    </row>
    <row r="66" spans="1:4">
      <c r="A66" s="36" t="s">
        <v>275</v>
      </c>
      <c r="B66">
        <v>-8</v>
      </c>
      <c r="C66" t="s">
        <v>276</v>
      </c>
      <c r="D66" s="2">
        <v>2910772300.8200002</v>
      </c>
    </row>
    <row r="67" spans="1:4">
      <c r="A67" s="36" t="s">
        <v>277</v>
      </c>
      <c r="B67">
        <v>-6</v>
      </c>
      <c r="C67" t="s">
        <v>945</v>
      </c>
      <c r="D67" s="2">
        <v>2399647749.1199999</v>
      </c>
    </row>
    <row r="68" spans="1:4">
      <c r="A68" s="36" t="s">
        <v>278</v>
      </c>
      <c r="B68">
        <v>-4</v>
      </c>
      <c r="C68" t="s">
        <v>404</v>
      </c>
      <c r="D68" s="2">
        <v>18749059.170000002</v>
      </c>
    </row>
    <row r="69" spans="1:4">
      <c r="A69" s="36" t="s">
        <v>279</v>
      </c>
      <c r="B69">
        <v>-2</v>
      </c>
      <c r="C69" t="s">
        <v>405</v>
      </c>
      <c r="D69" s="2">
        <v>6831764.6200000001</v>
      </c>
    </row>
    <row r="70" spans="1:4">
      <c r="A70" s="36" t="s">
        <v>406</v>
      </c>
      <c r="B70">
        <v>0</v>
      </c>
      <c r="C70" t="s">
        <v>407</v>
      </c>
      <c r="D70" s="2">
        <v>37133242.759999998</v>
      </c>
    </row>
    <row r="71" spans="1:4">
      <c r="A71" s="36" t="s">
        <v>677</v>
      </c>
      <c r="B71">
        <v>-2</v>
      </c>
      <c r="C71" t="s">
        <v>743</v>
      </c>
      <c r="D71" s="2">
        <v>99848.07</v>
      </c>
    </row>
    <row r="72" spans="1:4">
      <c r="A72" s="36" t="s">
        <v>280</v>
      </c>
      <c r="B72">
        <v>0</v>
      </c>
      <c r="C72" t="s">
        <v>408</v>
      </c>
      <c r="D72" s="2">
        <v>1834473.29</v>
      </c>
    </row>
    <row r="73" spans="1:4">
      <c r="A73" s="36" t="s">
        <v>281</v>
      </c>
      <c r="B73">
        <v>-9</v>
      </c>
      <c r="C73" t="s">
        <v>409</v>
      </c>
      <c r="D73">
        <v>2.5</v>
      </c>
    </row>
    <row r="74" spans="1:4">
      <c r="A74" s="36" t="s">
        <v>282</v>
      </c>
      <c r="B74">
        <v>-7</v>
      </c>
      <c r="C74" t="s">
        <v>410</v>
      </c>
      <c r="D74" s="2">
        <v>32461853.98</v>
      </c>
    </row>
    <row r="75" spans="1:4">
      <c r="A75" s="36" t="s">
        <v>283</v>
      </c>
      <c r="B75">
        <v>-5</v>
      </c>
      <c r="C75" t="s">
        <v>411</v>
      </c>
      <c r="D75" s="2">
        <v>3395.8</v>
      </c>
    </row>
    <row r="76" spans="1:4">
      <c r="A76" s="36" t="s">
        <v>284</v>
      </c>
      <c r="B76">
        <v>-1</v>
      </c>
      <c r="C76" t="s">
        <v>412</v>
      </c>
      <c r="D76" s="2">
        <v>46325930.039999999</v>
      </c>
    </row>
    <row r="77" spans="1:4">
      <c r="A77" s="36" t="s">
        <v>413</v>
      </c>
      <c r="B77">
        <v>0</v>
      </c>
      <c r="C77" t="s">
        <v>622</v>
      </c>
      <c r="D77" s="2">
        <v>1010953.34</v>
      </c>
    </row>
    <row r="78" spans="1:4">
      <c r="A78" s="36" t="s">
        <v>623</v>
      </c>
      <c r="B78">
        <v>-6</v>
      </c>
      <c r="C78" t="s">
        <v>624</v>
      </c>
      <c r="D78" s="2">
        <v>26609856.760000002</v>
      </c>
    </row>
    <row r="79" spans="1:4">
      <c r="A79" s="36" t="s">
        <v>690</v>
      </c>
      <c r="B79">
        <v>0</v>
      </c>
      <c r="C79" t="s">
        <v>889</v>
      </c>
      <c r="D79" s="2">
        <v>3536300</v>
      </c>
    </row>
    <row r="80" spans="1:4">
      <c r="A80" s="36" t="s">
        <v>744</v>
      </c>
      <c r="B80">
        <v>0</v>
      </c>
      <c r="C80" t="s">
        <v>946</v>
      </c>
      <c r="D80" s="2">
        <v>336527871.37</v>
      </c>
    </row>
    <row r="81" spans="1:4">
      <c r="A81" s="36" t="s">
        <v>285</v>
      </c>
      <c r="B81">
        <v>-4</v>
      </c>
      <c r="C81" t="s">
        <v>415</v>
      </c>
      <c r="D81" s="2">
        <v>79783476.359999999</v>
      </c>
    </row>
    <row r="82" spans="1:4">
      <c r="A82" s="36" t="s">
        <v>286</v>
      </c>
      <c r="B82">
        <v>-2</v>
      </c>
      <c r="C82" t="s">
        <v>416</v>
      </c>
      <c r="D82" s="2">
        <v>79281286</v>
      </c>
    </row>
    <row r="83" spans="1:4">
      <c r="A83" s="36" t="s">
        <v>724</v>
      </c>
      <c r="B83">
        <v>0</v>
      </c>
      <c r="C83" t="s">
        <v>725</v>
      </c>
      <c r="D83" s="2">
        <v>33572.28</v>
      </c>
    </row>
    <row r="84" spans="1:4">
      <c r="A84" s="36" t="s">
        <v>747</v>
      </c>
      <c r="B84">
        <v>-9</v>
      </c>
      <c r="C84" t="s">
        <v>947</v>
      </c>
      <c r="D84" s="2">
        <v>468618.08</v>
      </c>
    </row>
    <row r="85" spans="1:4">
      <c r="A85" s="36" t="s">
        <v>287</v>
      </c>
      <c r="B85">
        <v>-7</v>
      </c>
      <c r="C85" t="s">
        <v>890</v>
      </c>
      <c r="D85" s="2">
        <v>133298088</v>
      </c>
    </row>
    <row r="86" spans="1:4">
      <c r="A86" s="36" t="s">
        <v>288</v>
      </c>
      <c r="B86">
        <v>-5</v>
      </c>
      <c r="C86" t="s">
        <v>418</v>
      </c>
      <c r="D86" s="2">
        <v>190425840</v>
      </c>
    </row>
    <row r="87" spans="1:4">
      <c r="A87" s="36" t="s">
        <v>289</v>
      </c>
      <c r="B87">
        <v>-3</v>
      </c>
      <c r="C87" t="s">
        <v>419</v>
      </c>
      <c r="D87" s="2">
        <v>-57127752</v>
      </c>
    </row>
    <row r="88" spans="1:4">
      <c r="A88" s="36" t="s">
        <v>749</v>
      </c>
      <c r="B88">
        <v>0</v>
      </c>
      <c r="C88" t="s">
        <v>891</v>
      </c>
      <c r="D88" s="2">
        <v>64955614.960000001</v>
      </c>
    </row>
    <row r="89" spans="1:4">
      <c r="A89" s="36" t="s">
        <v>751</v>
      </c>
      <c r="B89">
        <v>-8</v>
      </c>
      <c r="C89" t="s">
        <v>693</v>
      </c>
      <c r="D89" s="2">
        <v>66011000</v>
      </c>
    </row>
    <row r="90" spans="1:4">
      <c r="A90" s="36" t="s">
        <v>753</v>
      </c>
      <c r="B90">
        <v>-6</v>
      </c>
      <c r="C90" t="s">
        <v>746</v>
      </c>
      <c r="D90" s="2">
        <v>-1055385.04</v>
      </c>
    </row>
    <row r="91" spans="1:4">
      <c r="A91" s="36" t="s">
        <v>322</v>
      </c>
      <c r="B91">
        <v>-8</v>
      </c>
      <c r="C91" t="s">
        <v>33</v>
      </c>
      <c r="D91">
        <v>0</v>
      </c>
    </row>
    <row r="92" spans="1:4">
      <c r="A92" s="36" t="s">
        <v>34</v>
      </c>
      <c r="B92">
        <v>0</v>
      </c>
      <c r="C92" t="s">
        <v>35</v>
      </c>
      <c r="D92">
        <v>0</v>
      </c>
    </row>
    <row r="93" spans="1:4">
      <c r="A93" s="36" t="s">
        <v>420</v>
      </c>
      <c r="B93">
        <v>-8</v>
      </c>
      <c r="C93" t="s">
        <v>421</v>
      </c>
      <c r="D93" s="2">
        <v>1500</v>
      </c>
    </row>
    <row r="94" spans="1:4">
      <c r="A94" s="36" t="s">
        <v>422</v>
      </c>
      <c r="B94">
        <v>0</v>
      </c>
      <c r="C94" t="s">
        <v>423</v>
      </c>
      <c r="D94" s="2">
        <v>1500</v>
      </c>
    </row>
    <row r="95" spans="1:4">
      <c r="A95" s="36" t="s">
        <v>424</v>
      </c>
      <c r="B95">
        <v>-9</v>
      </c>
      <c r="C95" t="s">
        <v>892</v>
      </c>
      <c r="D95" s="2">
        <v>1500</v>
      </c>
    </row>
    <row r="96" spans="1:4">
      <c r="A96" s="36" t="s">
        <v>36</v>
      </c>
      <c r="B96">
        <v>-4</v>
      </c>
      <c r="C96" t="s">
        <v>37</v>
      </c>
      <c r="D96" s="2">
        <v>-1500</v>
      </c>
    </row>
    <row r="97" spans="1:4">
      <c r="A97" s="36" t="s">
        <v>38</v>
      </c>
      <c r="B97">
        <v>0</v>
      </c>
      <c r="C97" t="s">
        <v>425</v>
      </c>
      <c r="D97" s="2">
        <v>-1500</v>
      </c>
    </row>
    <row r="98" spans="1:4">
      <c r="A98" s="36" t="s">
        <v>39</v>
      </c>
      <c r="B98">
        <v>-4</v>
      </c>
      <c r="C98" t="s">
        <v>893</v>
      </c>
      <c r="D98" s="2">
        <v>-1500</v>
      </c>
    </row>
    <row r="99" spans="1:4">
      <c r="A99" s="36">
        <v>3</v>
      </c>
      <c r="B99">
        <v>0</v>
      </c>
      <c r="C99" t="s">
        <v>625</v>
      </c>
      <c r="D99" s="2">
        <v>86861688.530000001</v>
      </c>
    </row>
    <row r="100" spans="1:4">
      <c r="A100" s="36" t="s">
        <v>626</v>
      </c>
      <c r="B100">
        <v>0</v>
      </c>
      <c r="C100" t="s">
        <v>625</v>
      </c>
      <c r="D100" s="2">
        <v>86861688.530000001</v>
      </c>
    </row>
    <row r="101" spans="1:4">
      <c r="A101" s="36" t="s">
        <v>627</v>
      </c>
      <c r="B101">
        <v>-3</v>
      </c>
      <c r="C101" t="s">
        <v>628</v>
      </c>
      <c r="D101" s="2">
        <v>86861688.530000001</v>
      </c>
    </row>
    <row r="102" spans="1:4">
      <c r="A102" s="36" t="s">
        <v>629</v>
      </c>
      <c r="B102">
        <v>-7</v>
      </c>
      <c r="C102" t="s">
        <v>630</v>
      </c>
      <c r="D102" s="2">
        <v>86861688.530000001</v>
      </c>
    </row>
    <row r="103" spans="1:4">
      <c r="A103" s="36" t="s">
        <v>631</v>
      </c>
      <c r="B103">
        <v>-3</v>
      </c>
      <c r="C103" t="s">
        <v>630</v>
      </c>
      <c r="D103" s="2">
        <v>86861688.530000001</v>
      </c>
    </row>
    <row r="104" spans="1:4">
      <c r="A104" s="36" t="s">
        <v>632</v>
      </c>
      <c r="B104">
        <v>-8</v>
      </c>
      <c r="C104" t="s">
        <v>633</v>
      </c>
      <c r="D104" s="2">
        <v>39292916.829999998</v>
      </c>
    </row>
    <row r="105" spans="1:4">
      <c r="A105" s="36" t="s">
        <v>634</v>
      </c>
      <c r="B105">
        <v>-6</v>
      </c>
      <c r="C105" t="s">
        <v>635</v>
      </c>
      <c r="D105" s="2">
        <v>47568771.700000003</v>
      </c>
    </row>
    <row r="106" spans="1:4">
      <c r="A106" s="36">
        <v>8</v>
      </c>
      <c r="B106">
        <v>-1</v>
      </c>
      <c r="C106" t="s">
        <v>40</v>
      </c>
      <c r="D106" s="2">
        <v>154964138.34999999</v>
      </c>
    </row>
    <row r="107" spans="1:4">
      <c r="A107" s="36" t="s">
        <v>41</v>
      </c>
      <c r="B107">
        <v>-9</v>
      </c>
      <c r="C107" t="s">
        <v>42</v>
      </c>
      <c r="D107" s="2">
        <v>117893327.86</v>
      </c>
    </row>
    <row r="108" spans="1:4">
      <c r="A108" s="36" t="s">
        <v>334</v>
      </c>
      <c r="B108">
        <v>-8</v>
      </c>
      <c r="C108" t="s">
        <v>43</v>
      </c>
      <c r="D108" s="2">
        <v>91432682.060000002</v>
      </c>
    </row>
    <row r="109" spans="1:4">
      <c r="A109" s="36" t="s">
        <v>44</v>
      </c>
      <c r="B109">
        <v>-5</v>
      </c>
      <c r="C109" t="s">
        <v>45</v>
      </c>
      <c r="D109" s="2">
        <v>91432682.060000002</v>
      </c>
    </row>
    <row r="110" spans="1:4">
      <c r="A110" s="36" t="s">
        <v>46</v>
      </c>
      <c r="B110">
        <v>0</v>
      </c>
      <c r="C110" t="s">
        <v>47</v>
      </c>
      <c r="D110" s="2">
        <v>91432682.060000002</v>
      </c>
    </row>
    <row r="111" spans="1:4">
      <c r="A111" s="36" t="s">
        <v>48</v>
      </c>
      <c r="B111">
        <v>-5</v>
      </c>
      <c r="C111" t="s">
        <v>894</v>
      </c>
      <c r="D111" s="2">
        <v>79311117.939999998</v>
      </c>
    </row>
    <row r="112" spans="1:4">
      <c r="A112" s="36" t="s">
        <v>49</v>
      </c>
      <c r="B112">
        <v>-3</v>
      </c>
      <c r="C112" t="s">
        <v>895</v>
      </c>
      <c r="D112" s="2">
        <v>12121564.119999999</v>
      </c>
    </row>
    <row r="113" spans="1:4">
      <c r="A113" s="36" t="s">
        <v>51</v>
      </c>
      <c r="B113">
        <v>-6</v>
      </c>
      <c r="C113" t="s">
        <v>52</v>
      </c>
      <c r="D113" s="2">
        <v>6376884.5499999998</v>
      </c>
    </row>
    <row r="114" spans="1:4">
      <c r="A114" s="36" t="s">
        <v>53</v>
      </c>
      <c r="B114">
        <v>0</v>
      </c>
      <c r="C114" t="s">
        <v>54</v>
      </c>
      <c r="D114" s="2">
        <v>10245.780000000001</v>
      </c>
    </row>
    <row r="115" spans="1:4">
      <c r="A115" s="36" t="s">
        <v>55</v>
      </c>
      <c r="B115">
        <v>-1</v>
      </c>
      <c r="C115" t="s">
        <v>54</v>
      </c>
      <c r="D115" s="2">
        <v>10245.780000000001</v>
      </c>
    </row>
    <row r="116" spans="1:4">
      <c r="A116" s="36" t="s">
        <v>56</v>
      </c>
      <c r="B116">
        <v>0</v>
      </c>
      <c r="C116" t="s">
        <v>801</v>
      </c>
      <c r="D116" s="2">
        <v>10245.780000000001</v>
      </c>
    </row>
    <row r="117" spans="1:4">
      <c r="A117" s="36" t="s">
        <v>57</v>
      </c>
      <c r="B117">
        <v>-3</v>
      </c>
      <c r="C117" t="s">
        <v>58</v>
      </c>
      <c r="D117" s="2">
        <v>127646.54</v>
      </c>
    </row>
    <row r="118" spans="1:4">
      <c r="A118" s="36" t="s">
        <v>59</v>
      </c>
      <c r="B118">
        <v>-5</v>
      </c>
      <c r="C118" t="s">
        <v>58</v>
      </c>
      <c r="D118" s="2">
        <v>127646.54</v>
      </c>
    </row>
    <row r="119" spans="1:4">
      <c r="A119" s="36" t="s">
        <v>60</v>
      </c>
      <c r="B119">
        <v>-3</v>
      </c>
      <c r="C119" t="s">
        <v>58</v>
      </c>
      <c r="D119" s="2">
        <v>127646.54</v>
      </c>
    </row>
    <row r="120" spans="1:4">
      <c r="A120" s="36" t="s">
        <v>61</v>
      </c>
      <c r="B120">
        <v>-6</v>
      </c>
      <c r="C120" t="s">
        <v>62</v>
      </c>
      <c r="D120" s="2">
        <v>1430071.61</v>
      </c>
    </row>
    <row r="121" spans="1:4">
      <c r="A121" s="36" t="s">
        <v>63</v>
      </c>
      <c r="B121">
        <v>-3</v>
      </c>
      <c r="C121" t="s">
        <v>802</v>
      </c>
      <c r="D121" s="2">
        <v>1430071.61</v>
      </c>
    </row>
    <row r="122" spans="1:4">
      <c r="A122" s="36" t="s">
        <v>64</v>
      </c>
      <c r="B122">
        <v>-1</v>
      </c>
      <c r="C122" t="s">
        <v>803</v>
      </c>
      <c r="D122" s="2">
        <v>894987.82</v>
      </c>
    </row>
    <row r="123" spans="1:4">
      <c r="A123" s="36" t="s">
        <v>65</v>
      </c>
      <c r="B123">
        <v>0</v>
      </c>
      <c r="C123" t="s">
        <v>804</v>
      </c>
      <c r="D123" s="2">
        <v>80861.39</v>
      </c>
    </row>
    <row r="124" spans="1:4">
      <c r="A124" s="36" t="s">
        <v>66</v>
      </c>
      <c r="B124">
        <v>-8</v>
      </c>
      <c r="C124" t="s">
        <v>805</v>
      </c>
      <c r="D124" s="2">
        <v>219637.62</v>
      </c>
    </row>
    <row r="125" spans="1:4">
      <c r="A125" s="36" t="s">
        <v>67</v>
      </c>
      <c r="B125">
        <v>-4</v>
      </c>
      <c r="C125" t="s">
        <v>896</v>
      </c>
      <c r="D125" s="2">
        <v>32406.45</v>
      </c>
    </row>
    <row r="126" spans="1:4">
      <c r="A126" s="36" t="s">
        <v>68</v>
      </c>
      <c r="B126">
        <v>0</v>
      </c>
      <c r="C126" t="s">
        <v>806</v>
      </c>
      <c r="D126" s="2">
        <v>24075.84</v>
      </c>
    </row>
    <row r="127" spans="1:4">
      <c r="A127" s="36" t="s">
        <v>438</v>
      </c>
      <c r="B127">
        <v>0</v>
      </c>
      <c r="C127" t="s">
        <v>807</v>
      </c>
      <c r="D127" s="2">
        <v>74052.91</v>
      </c>
    </row>
    <row r="128" spans="1:4">
      <c r="A128" s="36" t="s">
        <v>440</v>
      </c>
      <c r="B128">
        <v>-9</v>
      </c>
      <c r="C128" t="s">
        <v>808</v>
      </c>
      <c r="D128" s="2">
        <v>5924.23</v>
      </c>
    </row>
    <row r="129" spans="1:4">
      <c r="A129" s="36" t="s">
        <v>442</v>
      </c>
      <c r="B129">
        <v>-7</v>
      </c>
      <c r="C129" t="s">
        <v>809</v>
      </c>
      <c r="D129" s="2">
        <v>14810.58</v>
      </c>
    </row>
    <row r="130" spans="1:4">
      <c r="A130" s="36" t="s">
        <v>444</v>
      </c>
      <c r="B130">
        <v>-5</v>
      </c>
      <c r="C130" t="s">
        <v>810</v>
      </c>
      <c r="D130" s="2">
        <v>8886.35</v>
      </c>
    </row>
    <row r="131" spans="1:4">
      <c r="A131" s="36" t="s">
        <v>69</v>
      </c>
      <c r="B131">
        <v>-3</v>
      </c>
      <c r="C131" t="s">
        <v>811</v>
      </c>
      <c r="D131" s="2">
        <v>30028.39</v>
      </c>
    </row>
    <row r="132" spans="1:4">
      <c r="A132" s="36" t="s">
        <v>70</v>
      </c>
      <c r="B132">
        <v>-1</v>
      </c>
      <c r="C132" t="s">
        <v>948</v>
      </c>
      <c r="D132" s="2">
        <v>34747.85</v>
      </c>
    </row>
    <row r="133" spans="1:4">
      <c r="A133" s="36" t="s">
        <v>71</v>
      </c>
      <c r="B133">
        <v>0</v>
      </c>
      <c r="C133" t="s">
        <v>812</v>
      </c>
      <c r="D133" s="2">
        <v>9652.18</v>
      </c>
    </row>
    <row r="134" spans="1:4">
      <c r="A134" s="36" t="s">
        <v>72</v>
      </c>
      <c r="B134">
        <v>-8</v>
      </c>
      <c r="C134" t="s">
        <v>73</v>
      </c>
      <c r="D134" s="2">
        <v>55158.82</v>
      </c>
    </row>
    <row r="135" spans="1:4">
      <c r="A135" s="36" t="s">
        <v>74</v>
      </c>
      <c r="B135">
        <v>0</v>
      </c>
      <c r="C135" t="s">
        <v>75</v>
      </c>
      <c r="D135" s="2">
        <v>55158.82</v>
      </c>
    </row>
    <row r="136" spans="1:4">
      <c r="A136" s="36" t="s">
        <v>76</v>
      </c>
      <c r="B136">
        <v>-8</v>
      </c>
      <c r="C136" t="s">
        <v>449</v>
      </c>
      <c r="D136" s="2">
        <v>55158.82</v>
      </c>
    </row>
    <row r="137" spans="1:4">
      <c r="A137" s="155" t="s">
        <v>77</v>
      </c>
      <c r="B137" s="93">
        <v>-5</v>
      </c>
      <c r="C137" s="93" t="s">
        <v>78</v>
      </c>
      <c r="D137" s="94">
        <v>150242.76</v>
      </c>
    </row>
    <row r="138" spans="1:4">
      <c r="A138" s="155" t="s">
        <v>79</v>
      </c>
      <c r="B138" s="93">
        <v>-3</v>
      </c>
      <c r="C138" s="93" t="s">
        <v>450</v>
      </c>
      <c r="D138" s="94">
        <v>150242.76</v>
      </c>
    </row>
    <row r="139" spans="1:4">
      <c r="A139" s="155" t="s">
        <v>80</v>
      </c>
      <c r="B139" s="93">
        <v>-1</v>
      </c>
      <c r="C139" s="93" t="s">
        <v>451</v>
      </c>
      <c r="D139" s="94">
        <v>17825.64</v>
      </c>
    </row>
    <row r="140" spans="1:4">
      <c r="A140" s="155" t="s">
        <v>81</v>
      </c>
      <c r="B140" s="93">
        <v>-8</v>
      </c>
      <c r="C140" s="93" t="s">
        <v>452</v>
      </c>
      <c r="D140" s="94">
        <v>132417.12</v>
      </c>
    </row>
    <row r="141" spans="1:4">
      <c r="A141" s="155" t="s">
        <v>82</v>
      </c>
      <c r="B141" s="93">
        <v>-7</v>
      </c>
      <c r="C141" s="93" t="s">
        <v>83</v>
      </c>
      <c r="D141" s="94">
        <v>865993.56</v>
      </c>
    </row>
    <row r="142" spans="1:4">
      <c r="A142" s="155" t="s">
        <v>84</v>
      </c>
      <c r="B142" s="93">
        <v>-5</v>
      </c>
      <c r="C142" s="93" t="s">
        <v>455</v>
      </c>
      <c r="D142" s="94">
        <v>147656.46</v>
      </c>
    </row>
    <row r="143" spans="1:4">
      <c r="A143" s="155" t="s">
        <v>85</v>
      </c>
      <c r="B143" s="93">
        <v>-3</v>
      </c>
      <c r="C143" s="93" t="s">
        <v>456</v>
      </c>
      <c r="D143" s="94">
        <v>136958.03</v>
      </c>
    </row>
    <row r="144" spans="1:4">
      <c r="A144" s="155" t="s">
        <v>86</v>
      </c>
      <c r="B144" s="93">
        <v>-1</v>
      </c>
      <c r="C144" s="93" t="s">
        <v>457</v>
      </c>
      <c r="D144" s="94">
        <v>10698.43</v>
      </c>
    </row>
    <row r="145" spans="1:4">
      <c r="A145" s="155" t="s">
        <v>87</v>
      </c>
      <c r="B145" s="93">
        <v>-7</v>
      </c>
      <c r="C145" s="93" t="s">
        <v>458</v>
      </c>
      <c r="D145" s="94">
        <v>483736.83</v>
      </c>
    </row>
    <row r="146" spans="1:4">
      <c r="A146" s="36" t="s">
        <v>88</v>
      </c>
      <c r="B146">
        <v>-5</v>
      </c>
      <c r="C146" t="s">
        <v>459</v>
      </c>
      <c r="D146" s="2">
        <v>483736.83</v>
      </c>
    </row>
    <row r="147" spans="1:4">
      <c r="A147" s="36" t="s">
        <v>89</v>
      </c>
      <c r="B147">
        <v>-2</v>
      </c>
      <c r="C147" t="s">
        <v>460</v>
      </c>
      <c r="D147" s="2">
        <v>175719.17</v>
      </c>
    </row>
    <row r="148" spans="1:4">
      <c r="A148" s="36" t="s">
        <v>637</v>
      </c>
      <c r="B148">
        <v>0</v>
      </c>
      <c r="C148" t="s">
        <v>638</v>
      </c>
      <c r="D148" s="2">
        <v>164244.24</v>
      </c>
    </row>
    <row r="149" spans="1:4">
      <c r="A149" s="36" t="s">
        <v>90</v>
      </c>
      <c r="B149">
        <v>-9</v>
      </c>
      <c r="C149" t="s">
        <v>461</v>
      </c>
      <c r="D149" s="2">
        <v>11474.93</v>
      </c>
    </row>
    <row r="150" spans="1:4">
      <c r="A150" s="36" t="s">
        <v>91</v>
      </c>
      <c r="B150">
        <v>0</v>
      </c>
      <c r="C150" t="s">
        <v>462</v>
      </c>
      <c r="D150" s="2">
        <v>58881.1</v>
      </c>
    </row>
    <row r="151" spans="1:4">
      <c r="A151" s="36" t="s">
        <v>92</v>
      </c>
      <c r="B151">
        <v>-9</v>
      </c>
      <c r="C151" t="s">
        <v>463</v>
      </c>
      <c r="D151" s="2">
        <v>58881.1</v>
      </c>
    </row>
    <row r="152" spans="1:4">
      <c r="A152" s="36" t="s">
        <v>93</v>
      </c>
      <c r="B152">
        <v>0</v>
      </c>
      <c r="C152" t="s">
        <v>94</v>
      </c>
      <c r="D152" s="2">
        <v>2104059.1</v>
      </c>
    </row>
    <row r="153" spans="1:4">
      <c r="A153" s="36" t="s">
        <v>95</v>
      </c>
      <c r="B153">
        <v>-2</v>
      </c>
      <c r="C153" t="s">
        <v>464</v>
      </c>
      <c r="D153" s="2">
        <v>2104059.1</v>
      </c>
    </row>
    <row r="154" spans="1:4">
      <c r="A154" s="36" t="s">
        <v>96</v>
      </c>
      <c r="B154">
        <v>0</v>
      </c>
      <c r="C154" t="s">
        <v>465</v>
      </c>
      <c r="D154" s="2">
        <v>522579.44</v>
      </c>
    </row>
    <row r="155" spans="1:4">
      <c r="A155" s="36" t="s">
        <v>97</v>
      </c>
      <c r="B155">
        <v>-9</v>
      </c>
      <c r="C155" t="s">
        <v>466</v>
      </c>
      <c r="D155" s="2">
        <v>699166.62</v>
      </c>
    </row>
    <row r="156" spans="1:4">
      <c r="A156" s="36" t="s">
        <v>98</v>
      </c>
      <c r="B156">
        <v>-7</v>
      </c>
      <c r="C156" t="s">
        <v>467</v>
      </c>
      <c r="D156" s="2">
        <v>47937.13</v>
      </c>
    </row>
    <row r="157" spans="1:4">
      <c r="A157" s="36" t="s">
        <v>99</v>
      </c>
      <c r="B157">
        <v>-5</v>
      </c>
      <c r="C157" t="s">
        <v>468</v>
      </c>
      <c r="D157" s="2">
        <v>36693.57</v>
      </c>
    </row>
    <row r="158" spans="1:4">
      <c r="A158" s="36" t="s">
        <v>100</v>
      </c>
      <c r="B158">
        <v>-1</v>
      </c>
      <c r="C158" t="s">
        <v>469</v>
      </c>
      <c r="D158" s="2">
        <v>393825.44</v>
      </c>
    </row>
    <row r="159" spans="1:4">
      <c r="A159" s="36" t="s">
        <v>101</v>
      </c>
      <c r="B159">
        <v>-8</v>
      </c>
      <c r="C159" t="s">
        <v>470</v>
      </c>
      <c r="D159" s="2">
        <v>22407.08</v>
      </c>
    </row>
    <row r="160" spans="1:4">
      <c r="A160" s="36" t="s">
        <v>102</v>
      </c>
      <c r="B160">
        <v>-4</v>
      </c>
      <c r="C160" t="s">
        <v>471</v>
      </c>
      <c r="D160" s="2">
        <v>133732.03</v>
      </c>
    </row>
    <row r="161" spans="1:4">
      <c r="A161" s="36" t="s">
        <v>103</v>
      </c>
      <c r="B161">
        <v>-2</v>
      </c>
      <c r="C161" t="s">
        <v>472</v>
      </c>
      <c r="D161" s="2">
        <v>223584.45</v>
      </c>
    </row>
    <row r="162" spans="1:4">
      <c r="A162" s="36" t="s">
        <v>104</v>
      </c>
      <c r="B162">
        <v>0</v>
      </c>
      <c r="C162" t="s">
        <v>473</v>
      </c>
      <c r="D162" s="2">
        <v>23948.82</v>
      </c>
    </row>
    <row r="163" spans="1:4">
      <c r="A163" s="36" t="s">
        <v>105</v>
      </c>
      <c r="B163">
        <v>-9</v>
      </c>
      <c r="C163" t="s">
        <v>474</v>
      </c>
      <c r="D163">
        <v>184.52</v>
      </c>
    </row>
    <row r="164" spans="1:4">
      <c r="A164" s="36" t="s">
        <v>604</v>
      </c>
      <c r="B164">
        <v>-4</v>
      </c>
      <c r="C164" t="s">
        <v>949</v>
      </c>
      <c r="D164" s="2">
        <v>16719</v>
      </c>
    </row>
    <row r="165" spans="1:4">
      <c r="A165" s="36" t="s">
        <v>950</v>
      </c>
      <c r="B165">
        <v>0</v>
      </c>
      <c r="C165" t="s">
        <v>951</v>
      </c>
      <c r="D165" s="2">
        <v>16719</v>
      </c>
    </row>
    <row r="166" spans="1:4">
      <c r="A166" s="36" t="s">
        <v>952</v>
      </c>
      <c r="B166">
        <v>0</v>
      </c>
      <c r="C166" t="s">
        <v>953</v>
      </c>
      <c r="D166" s="2">
        <v>16719</v>
      </c>
    </row>
    <row r="167" spans="1:4">
      <c r="A167" s="36" t="s">
        <v>106</v>
      </c>
      <c r="B167">
        <v>-8</v>
      </c>
      <c r="C167" t="s">
        <v>107</v>
      </c>
      <c r="D167" s="2">
        <v>16135.02</v>
      </c>
    </row>
    <row r="168" spans="1:4">
      <c r="A168" s="36" t="s">
        <v>108</v>
      </c>
      <c r="B168">
        <v>0</v>
      </c>
      <c r="C168" t="s">
        <v>477</v>
      </c>
      <c r="D168" s="2">
        <v>16135.02</v>
      </c>
    </row>
    <row r="169" spans="1:4">
      <c r="A169" s="36" t="s">
        <v>109</v>
      </c>
      <c r="B169">
        <v>-8</v>
      </c>
      <c r="C169" t="s">
        <v>478</v>
      </c>
      <c r="D169" s="2">
        <v>16135.02</v>
      </c>
    </row>
    <row r="170" spans="1:4">
      <c r="A170" s="36" t="s">
        <v>110</v>
      </c>
      <c r="B170">
        <v>-1</v>
      </c>
      <c r="C170" t="s">
        <v>111</v>
      </c>
      <c r="D170" s="2">
        <v>1544995</v>
      </c>
    </row>
    <row r="171" spans="1:4">
      <c r="A171" s="36" t="s">
        <v>112</v>
      </c>
      <c r="B171">
        <v>-2</v>
      </c>
      <c r="C171" t="s">
        <v>905</v>
      </c>
      <c r="D171" s="2">
        <v>1544995</v>
      </c>
    </row>
    <row r="172" spans="1:4">
      <c r="A172" s="36" t="s">
        <v>113</v>
      </c>
      <c r="B172">
        <v>0</v>
      </c>
      <c r="C172" t="s">
        <v>480</v>
      </c>
      <c r="D172" s="2">
        <v>1544995</v>
      </c>
    </row>
    <row r="173" spans="1:4">
      <c r="A173" s="36" t="s">
        <v>114</v>
      </c>
      <c r="B173">
        <v>-9</v>
      </c>
      <c r="C173" t="s">
        <v>115</v>
      </c>
      <c r="D173">
        <v>154.9</v>
      </c>
    </row>
    <row r="174" spans="1:4">
      <c r="A174" s="36" t="s">
        <v>116</v>
      </c>
      <c r="B174">
        <v>0</v>
      </c>
      <c r="C174" t="s">
        <v>115</v>
      </c>
      <c r="D174">
        <v>154.9</v>
      </c>
    </row>
    <row r="175" spans="1:4">
      <c r="A175" s="36" t="s">
        <v>117</v>
      </c>
      <c r="B175">
        <v>-6</v>
      </c>
      <c r="C175" t="s">
        <v>678</v>
      </c>
      <c r="D175">
        <v>154.9</v>
      </c>
    </row>
    <row r="176" spans="1:4">
      <c r="A176" s="36" t="s">
        <v>122</v>
      </c>
      <c r="B176">
        <v>0</v>
      </c>
      <c r="C176" t="s">
        <v>123</v>
      </c>
      <c r="D176" s="2">
        <v>55462.46</v>
      </c>
    </row>
    <row r="177" spans="1:4">
      <c r="A177" s="36" t="s">
        <v>124</v>
      </c>
      <c r="B177">
        <v>-7</v>
      </c>
      <c r="C177" t="s">
        <v>835</v>
      </c>
      <c r="D177" s="2">
        <v>55462.46</v>
      </c>
    </row>
    <row r="178" spans="1:4">
      <c r="A178" s="36" t="s">
        <v>125</v>
      </c>
      <c r="B178">
        <v>-6</v>
      </c>
      <c r="C178" t="s">
        <v>954</v>
      </c>
      <c r="D178" s="2">
        <v>55462.46</v>
      </c>
    </row>
    <row r="179" spans="1:4">
      <c r="A179" s="36" t="s">
        <v>126</v>
      </c>
      <c r="B179">
        <v>-4</v>
      </c>
      <c r="C179" t="s">
        <v>127</v>
      </c>
      <c r="D179">
        <v>75</v>
      </c>
    </row>
    <row r="180" spans="1:4">
      <c r="A180" s="36" t="s">
        <v>128</v>
      </c>
      <c r="B180">
        <v>-1</v>
      </c>
      <c r="C180" t="s">
        <v>129</v>
      </c>
      <c r="D180">
        <v>75</v>
      </c>
    </row>
    <row r="181" spans="1:4">
      <c r="A181" s="36" t="s">
        <v>130</v>
      </c>
      <c r="B181">
        <v>-7</v>
      </c>
      <c r="C181" t="s">
        <v>129</v>
      </c>
      <c r="D181">
        <v>75</v>
      </c>
    </row>
    <row r="182" spans="1:4">
      <c r="A182" s="36" t="s">
        <v>131</v>
      </c>
      <c r="B182">
        <v>-1</v>
      </c>
      <c r="C182" t="s">
        <v>488</v>
      </c>
      <c r="D182">
        <v>75</v>
      </c>
    </row>
    <row r="183" spans="1:4">
      <c r="A183" s="36" t="s">
        <v>337</v>
      </c>
      <c r="B183">
        <v>-2</v>
      </c>
      <c r="C183" t="s">
        <v>132</v>
      </c>
      <c r="D183" s="2">
        <v>20083686.25</v>
      </c>
    </row>
    <row r="184" spans="1:4">
      <c r="A184" s="36" t="s">
        <v>133</v>
      </c>
      <c r="B184">
        <v>-3</v>
      </c>
      <c r="C184" t="s">
        <v>134</v>
      </c>
      <c r="D184" s="2">
        <v>6514195.5499999998</v>
      </c>
    </row>
    <row r="185" spans="1:4">
      <c r="A185" s="36" t="s">
        <v>135</v>
      </c>
      <c r="B185">
        <v>-5</v>
      </c>
      <c r="C185" t="s">
        <v>134</v>
      </c>
      <c r="D185" s="2">
        <v>6514195.5499999998</v>
      </c>
    </row>
    <row r="186" spans="1:4">
      <c r="A186" s="36" t="s">
        <v>136</v>
      </c>
      <c r="B186">
        <v>-3</v>
      </c>
      <c r="C186" t="s">
        <v>134</v>
      </c>
      <c r="D186" s="2">
        <v>6487066.3499999996</v>
      </c>
    </row>
    <row r="187" spans="1:4">
      <c r="A187" s="36" t="s">
        <v>758</v>
      </c>
      <c r="B187">
        <v>-1</v>
      </c>
      <c r="C187" t="s">
        <v>955</v>
      </c>
      <c r="D187" s="2">
        <v>27129.200000000001</v>
      </c>
    </row>
    <row r="188" spans="1:4">
      <c r="A188" s="36" t="s">
        <v>137</v>
      </c>
      <c r="B188">
        <v>-7</v>
      </c>
      <c r="C188" t="s">
        <v>138</v>
      </c>
      <c r="D188" s="2">
        <v>1414266.15</v>
      </c>
    </row>
    <row r="189" spans="1:4">
      <c r="A189" s="36" t="s">
        <v>139</v>
      </c>
      <c r="B189">
        <v>-9</v>
      </c>
      <c r="C189" t="s">
        <v>138</v>
      </c>
      <c r="D189" s="2">
        <v>1414266.15</v>
      </c>
    </row>
    <row r="190" spans="1:4">
      <c r="A190" s="36" t="s">
        <v>140</v>
      </c>
      <c r="B190">
        <v>-7</v>
      </c>
      <c r="C190" t="s">
        <v>836</v>
      </c>
      <c r="D190" s="2">
        <v>1408376.26</v>
      </c>
    </row>
    <row r="191" spans="1:4">
      <c r="A191" s="36" t="s">
        <v>760</v>
      </c>
      <c r="B191">
        <v>-5</v>
      </c>
      <c r="C191" t="s">
        <v>761</v>
      </c>
      <c r="D191" s="2">
        <v>5889.89</v>
      </c>
    </row>
    <row r="192" spans="1:4">
      <c r="A192" s="36" t="s">
        <v>141</v>
      </c>
      <c r="B192">
        <v>-6</v>
      </c>
      <c r="C192" t="s">
        <v>132</v>
      </c>
      <c r="D192" s="2">
        <v>12155224.550000001</v>
      </c>
    </row>
    <row r="193" spans="1:7">
      <c r="A193" s="36" t="s">
        <v>142</v>
      </c>
      <c r="B193">
        <v>-3</v>
      </c>
      <c r="C193" t="s">
        <v>132</v>
      </c>
      <c r="D193" s="2">
        <v>12155224.550000001</v>
      </c>
    </row>
    <row r="194" spans="1:7">
      <c r="A194" s="36" t="s">
        <v>501</v>
      </c>
      <c r="B194">
        <v>0</v>
      </c>
      <c r="C194" t="s">
        <v>502</v>
      </c>
      <c r="D194" s="2">
        <v>15196.39</v>
      </c>
    </row>
    <row r="195" spans="1:7">
      <c r="A195" s="36" t="s">
        <v>338</v>
      </c>
      <c r="B195">
        <v>-8</v>
      </c>
      <c r="C195" t="s">
        <v>503</v>
      </c>
      <c r="D195" s="2">
        <v>11692228.73</v>
      </c>
      <c r="G195" s="6">
        <v>929734673.10000014</v>
      </c>
    </row>
    <row r="196" spans="1:7">
      <c r="A196" s="36" t="s">
        <v>145</v>
      </c>
      <c r="B196">
        <v>-6</v>
      </c>
      <c r="C196" t="s">
        <v>504</v>
      </c>
      <c r="D196" s="2">
        <v>12677.59</v>
      </c>
      <c r="G196" s="2">
        <f>SUM(D106:D210)</f>
        <v>929784830.10000014</v>
      </c>
    </row>
    <row r="197" spans="1:7">
      <c r="A197" s="36" t="s">
        <v>146</v>
      </c>
      <c r="B197">
        <v>-4</v>
      </c>
      <c r="C197" t="s">
        <v>505</v>
      </c>
      <c r="D197" s="2">
        <v>435121.84</v>
      </c>
      <c r="G197" s="2">
        <f>+G195-G196</f>
        <v>-50157</v>
      </c>
    </row>
    <row r="198" spans="1:7">
      <c r="A198" s="36" t="s">
        <v>147</v>
      </c>
      <c r="B198">
        <v>-7</v>
      </c>
      <c r="C198" t="s">
        <v>148</v>
      </c>
      <c r="D198" s="2">
        <v>37070810.490000002</v>
      </c>
    </row>
    <row r="199" spans="1:7">
      <c r="A199" s="36" t="s">
        <v>149</v>
      </c>
      <c r="B199">
        <v>0</v>
      </c>
      <c r="C199" t="s">
        <v>150</v>
      </c>
      <c r="D199" s="2">
        <v>37070810.490000002</v>
      </c>
    </row>
    <row r="200" spans="1:7">
      <c r="A200" s="36" t="s">
        <v>151</v>
      </c>
      <c r="B200">
        <v>-3</v>
      </c>
      <c r="C200" t="s">
        <v>150</v>
      </c>
      <c r="D200" s="2">
        <v>27234173.899999999</v>
      </c>
    </row>
    <row r="201" spans="1:7">
      <c r="A201" s="36" t="s">
        <v>341</v>
      </c>
      <c r="B201">
        <v>-5</v>
      </c>
      <c r="C201" t="s">
        <v>150</v>
      </c>
      <c r="D201" s="2">
        <v>27245273.91</v>
      </c>
    </row>
    <row r="202" spans="1:7">
      <c r="A202" s="36" t="s">
        <v>152</v>
      </c>
      <c r="B202">
        <v>-3</v>
      </c>
      <c r="C202" t="s">
        <v>150</v>
      </c>
      <c r="D202" s="2">
        <v>27245273.91</v>
      </c>
    </row>
    <row r="203" spans="1:7">
      <c r="A203" s="36" t="s">
        <v>153</v>
      </c>
      <c r="B203">
        <v>-6</v>
      </c>
      <c r="C203" t="s">
        <v>510</v>
      </c>
      <c r="D203" s="2">
        <v>-11100.01</v>
      </c>
    </row>
    <row r="204" spans="1:7">
      <c r="A204" s="36" t="s">
        <v>343</v>
      </c>
      <c r="B204">
        <v>-4</v>
      </c>
      <c r="C204" t="s">
        <v>511</v>
      </c>
      <c r="D204" s="2">
        <v>-11100.01</v>
      </c>
    </row>
    <row r="205" spans="1:7">
      <c r="A205" s="36" t="s">
        <v>154</v>
      </c>
      <c r="B205">
        <v>-7</v>
      </c>
      <c r="C205" t="s">
        <v>155</v>
      </c>
      <c r="D205" s="2">
        <v>9836636.5899999999</v>
      </c>
    </row>
    <row r="206" spans="1:7">
      <c r="A206" s="36" t="s">
        <v>342</v>
      </c>
      <c r="B206">
        <v>-9</v>
      </c>
      <c r="C206" t="s">
        <v>155</v>
      </c>
      <c r="D206" s="2">
        <v>9840632.5899999999</v>
      </c>
    </row>
    <row r="207" spans="1:7">
      <c r="A207" s="36" t="s">
        <v>156</v>
      </c>
      <c r="B207">
        <v>-7</v>
      </c>
      <c r="C207" t="s">
        <v>155</v>
      </c>
      <c r="D207" s="2">
        <v>9811477.6199999992</v>
      </c>
    </row>
    <row r="208" spans="1:7">
      <c r="A208" s="36" t="s">
        <v>764</v>
      </c>
      <c r="B208">
        <v>-5</v>
      </c>
      <c r="C208" t="s">
        <v>956</v>
      </c>
      <c r="D208" s="2">
        <v>29154.97</v>
      </c>
    </row>
    <row r="209" spans="1:4">
      <c r="A209" s="36" t="s">
        <v>157</v>
      </c>
      <c r="B209">
        <v>0</v>
      </c>
      <c r="C209" t="s">
        <v>516</v>
      </c>
      <c r="D209" s="2">
        <v>-3996</v>
      </c>
    </row>
    <row r="210" spans="1:4">
      <c r="A210" s="36" t="s">
        <v>344</v>
      </c>
      <c r="B210">
        <v>-8</v>
      </c>
      <c r="C210" t="s">
        <v>517</v>
      </c>
      <c r="D210" s="2">
        <v>-3996</v>
      </c>
    </row>
    <row r="211" spans="1:4">
      <c r="A211" s="36">
        <v>4</v>
      </c>
      <c r="B211">
        <v>-6</v>
      </c>
      <c r="C211" t="s">
        <v>345</v>
      </c>
      <c r="D211" s="2">
        <v>394276170.77999997</v>
      </c>
    </row>
    <row r="212" spans="1:4">
      <c r="A212" s="36" t="s">
        <v>158</v>
      </c>
      <c r="B212">
        <v>-1</v>
      </c>
      <c r="C212" t="s">
        <v>159</v>
      </c>
      <c r="D212" s="2">
        <v>394276170.77999997</v>
      </c>
    </row>
    <row r="213" spans="1:4">
      <c r="A213" s="36" t="s">
        <v>160</v>
      </c>
      <c r="B213">
        <v>-4</v>
      </c>
      <c r="C213" t="s">
        <v>161</v>
      </c>
      <c r="D213" s="2">
        <v>389995236.61000001</v>
      </c>
    </row>
    <row r="214" spans="1:4">
      <c r="A214" s="36" t="s">
        <v>324</v>
      </c>
      <c r="B214">
        <v>-8</v>
      </c>
      <c r="C214" t="s">
        <v>518</v>
      </c>
      <c r="D214" s="2">
        <v>37577695.270000003</v>
      </c>
    </row>
    <row r="215" spans="1:4">
      <c r="A215" s="36" t="s">
        <v>162</v>
      </c>
      <c r="B215">
        <v>0</v>
      </c>
      <c r="C215" t="s">
        <v>843</v>
      </c>
      <c r="D215" s="2">
        <v>37577695.270000003</v>
      </c>
    </row>
    <row r="216" spans="1:4">
      <c r="A216" s="36" t="s">
        <v>301</v>
      </c>
      <c r="B216">
        <v>-8</v>
      </c>
      <c r="C216" t="s">
        <v>844</v>
      </c>
      <c r="D216" s="2">
        <v>27245273.91</v>
      </c>
    </row>
    <row r="217" spans="1:4">
      <c r="A217" s="36" t="s">
        <v>163</v>
      </c>
      <c r="B217">
        <v>-6</v>
      </c>
      <c r="C217" t="s">
        <v>845</v>
      </c>
      <c r="D217" s="2">
        <v>9811477.6199999992</v>
      </c>
    </row>
    <row r="218" spans="1:4">
      <c r="A218" s="36" t="s">
        <v>164</v>
      </c>
      <c r="B218">
        <v>-4</v>
      </c>
      <c r="C218" t="s">
        <v>846</v>
      </c>
      <c r="D218" s="2">
        <v>428018.64</v>
      </c>
    </row>
    <row r="219" spans="1:4">
      <c r="A219" s="36" t="s">
        <v>165</v>
      </c>
      <c r="B219">
        <v>-2</v>
      </c>
      <c r="C219" t="s">
        <v>847</v>
      </c>
      <c r="D219" s="2">
        <v>92925.1</v>
      </c>
    </row>
    <row r="220" spans="1:4">
      <c r="A220" s="36" t="s">
        <v>524</v>
      </c>
      <c r="B220">
        <v>-1</v>
      </c>
      <c r="C220" t="s">
        <v>525</v>
      </c>
      <c r="D220" s="2">
        <v>39323.769999999997</v>
      </c>
    </row>
    <row r="221" spans="1:4">
      <c r="A221" s="36" t="s">
        <v>526</v>
      </c>
      <c r="B221">
        <v>-9</v>
      </c>
      <c r="C221" t="s">
        <v>527</v>
      </c>
      <c r="D221" s="2">
        <v>39323.769999999997</v>
      </c>
    </row>
    <row r="222" spans="1:4">
      <c r="A222" s="36" t="s">
        <v>528</v>
      </c>
      <c r="B222">
        <v>-5</v>
      </c>
      <c r="C222" t="s">
        <v>849</v>
      </c>
      <c r="D222" s="2">
        <v>39323.769999999997</v>
      </c>
    </row>
    <row r="223" spans="1:4">
      <c r="A223" s="36" t="s">
        <v>326</v>
      </c>
      <c r="B223">
        <v>-5</v>
      </c>
      <c r="C223" t="s">
        <v>530</v>
      </c>
      <c r="D223" s="2">
        <v>352378217.56999999</v>
      </c>
    </row>
    <row r="224" spans="1:4">
      <c r="A224" s="36" t="s">
        <v>166</v>
      </c>
      <c r="B224">
        <v>-1</v>
      </c>
      <c r="C224" t="s">
        <v>167</v>
      </c>
      <c r="D224" s="2">
        <v>352378217.56999999</v>
      </c>
    </row>
    <row r="225" spans="1:4">
      <c r="A225" s="36" t="s">
        <v>168</v>
      </c>
      <c r="B225">
        <v>0</v>
      </c>
      <c r="C225" t="s">
        <v>908</v>
      </c>
      <c r="D225" s="2">
        <v>271104099.31999999</v>
      </c>
    </row>
    <row r="226" spans="1:4">
      <c r="A226" s="36" t="s">
        <v>169</v>
      </c>
      <c r="B226">
        <v>-8</v>
      </c>
      <c r="C226" t="s">
        <v>909</v>
      </c>
      <c r="D226" s="2">
        <v>81274118.25</v>
      </c>
    </row>
    <row r="227" spans="1:4">
      <c r="A227" s="36" t="s">
        <v>325</v>
      </c>
      <c r="B227">
        <v>-5</v>
      </c>
      <c r="C227" t="s">
        <v>170</v>
      </c>
      <c r="D227" s="2">
        <v>4280934.17</v>
      </c>
    </row>
    <row r="228" spans="1:4">
      <c r="A228" s="36" t="s">
        <v>171</v>
      </c>
      <c r="B228">
        <v>-6</v>
      </c>
      <c r="C228" t="s">
        <v>172</v>
      </c>
      <c r="D228" s="2">
        <v>607030.56999999995</v>
      </c>
    </row>
    <row r="229" spans="1:4">
      <c r="A229" s="36" t="s">
        <v>173</v>
      </c>
      <c r="B229">
        <v>-8</v>
      </c>
      <c r="C229" t="s">
        <v>850</v>
      </c>
      <c r="D229" s="2">
        <v>607030.56999999995</v>
      </c>
    </row>
    <row r="230" spans="1:4">
      <c r="A230" s="36" t="s">
        <v>534</v>
      </c>
      <c r="B230">
        <v>-6</v>
      </c>
      <c r="C230" t="s">
        <v>851</v>
      </c>
      <c r="D230" s="2">
        <v>74052.91</v>
      </c>
    </row>
    <row r="231" spans="1:4">
      <c r="A231" s="36" t="s">
        <v>536</v>
      </c>
      <c r="B231">
        <v>-4</v>
      </c>
      <c r="C231" t="s">
        <v>852</v>
      </c>
      <c r="D231" s="2">
        <v>8886.35</v>
      </c>
    </row>
    <row r="232" spans="1:4">
      <c r="A232" s="36" t="s">
        <v>538</v>
      </c>
      <c r="B232">
        <v>-2</v>
      </c>
      <c r="C232" t="s">
        <v>853</v>
      </c>
      <c r="D232" s="2">
        <v>5924.23</v>
      </c>
    </row>
    <row r="233" spans="1:4">
      <c r="A233" s="36" t="s">
        <v>540</v>
      </c>
      <c r="B233">
        <v>0</v>
      </c>
      <c r="C233" t="s">
        <v>854</v>
      </c>
      <c r="D233" s="2">
        <v>14810.58</v>
      </c>
    </row>
    <row r="234" spans="1:4">
      <c r="A234" s="36" t="s">
        <v>174</v>
      </c>
      <c r="B234">
        <v>-9</v>
      </c>
      <c r="C234" t="s">
        <v>855</v>
      </c>
      <c r="D234" s="2">
        <v>346807.75</v>
      </c>
    </row>
    <row r="235" spans="1:4">
      <c r="A235" s="36" t="s">
        <v>175</v>
      </c>
      <c r="B235">
        <v>-7</v>
      </c>
      <c r="C235" t="s">
        <v>856</v>
      </c>
      <c r="D235" s="2">
        <v>122733.11</v>
      </c>
    </row>
    <row r="236" spans="1:4">
      <c r="A236" s="36" t="s">
        <v>176</v>
      </c>
      <c r="B236">
        <v>-5</v>
      </c>
      <c r="C236" t="s">
        <v>857</v>
      </c>
      <c r="D236" s="2">
        <v>33815.64</v>
      </c>
    </row>
    <row r="237" spans="1:4">
      <c r="A237" s="36" t="s">
        <v>177</v>
      </c>
      <c r="B237">
        <v>-7</v>
      </c>
      <c r="C237" t="s">
        <v>178</v>
      </c>
      <c r="D237" s="2">
        <v>3673903.6</v>
      </c>
    </row>
    <row r="238" spans="1:4">
      <c r="A238" s="36" t="s">
        <v>179</v>
      </c>
      <c r="B238">
        <v>0</v>
      </c>
      <c r="C238" t="s">
        <v>858</v>
      </c>
      <c r="D238" s="2">
        <v>3673903.6</v>
      </c>
    </row>
    <row r="239" spans="1:4">
      <c r="A239" s="36" t="s">
        <v>180</v>
      </c>
      <c r="B239">
        <v>-9</v>
      </c>
      <c r="C239" t="s">
        <v>859</v>
      </c>
      <c r="D239" s="2">
        <v>158033.73000000001</v>
      </c>
    </row>
    <row r="240" spans="1:4">
      <c r="A240" s="36" t="s">
        <v>181</v>
      </c>
      <c r="B240">
        <v>-7</v>
      </c>
      <c r="C240" t="s">
        <v>860</v>
      </c>
      <c r="D240" s="2">
        <v>547790.35</v>
      </c>
    </row>
    <row r="241" spans="1:4">
      <c r="A241" s="36" t="s">
        <v>182</v>
      </c>
      <c r="B241">
        <v>-5</v>
      </c>
      <c r="C241" t="s">
        <v>861</v>
      </c>
      <c r="D241" s="2">
        <v>34023.81</v>
      </c>
    </row>
    <row r="242" spans="1:4">
      <c r="A242" s="36" t="s">
        <v>183</v>
      </c>
      <c r="B242">
        <v>-1</v>
      </c>
      <c r="C242" t="s">
        <v>862</v>
      </c>
      <c r="D242" s="2">
        <v>2934055.71</v>
      </c>
    </row>
    <row r="243" spans="1:4">
      <c r="A243" s="36">
        <v>6</v>
      </c>
      <c r="B243">
        <v>-9</v>
      </c>
      <c r="C243" t="s">
        <v>184</v>
      </c>
      <c r="D243" s="2">
        <v>5797688389.0799999</v>
      </c>
    </row>
    <row r="244" spans="1:4">
      <c r="A244" s="36" t="s">
        <v>185</v>
      </c>
      <c r="B244">
        <v>-6</v>
      </c>
      <c r="C244" t="s">
        <v>184</v>
      </c>
      <c r="D244" s="2">
        <v>5797688389.0799999</v>
      </c>
    </row>
    <row r="245" spans="1:4">
      <c r="A245" s="36" t="s">
        <v>186</v>
      </c>
      <c r="B245">
        <v>-4</v>
      </c>
      <c r="C245" t="s">
        <v>187</v>
      </c>
      <c r="D245" s="2">
        <v>4000000000</v>
      </c>
    </row>
    <row r="246" spans="1:4">
      <c r="A246" s="36" t="s">
        <v>327</v>
      </c>
      <c r="B246">
        <v>-8</v>
      </c>
      <c r="C246" t="s">
        <v>188</v>
      </c>
      <c r="D246" s="2">
        <v>4000000000</v>
      </c>
    </row>
    <row r="247" spans="1:4">
      <c r="A247" s="36" t="s">
        <v>189</v>
      </c>
      <c r="B247">
        <v>-3</v>
      </c>
      <c r="C247" t="s">
        <v>190</v>
      </c>
      <c r="D247" s="2">
        <v>4000000000</v>
      </c>
    </row>
    <row r="248" spans="1:4">
      <c r="A248" s="36" t="s">
        <v>191</v>
      </c>
      <c r="B248">
        <v>-3</v>
      </c>
      <c r="C248" t="s">
        <v>188</v>
      </c>
      <c r="D248" s="2">
        <v>4000000000</v>
      </c>
    </row>
    <row r="249" spans="1:4">
      <c r="A249" s="36" t="s">
        <v>291</v>
      </c>
      <c r="B249">
        <v>0</v>
      </c>
      <c r="C249" t="s">
        <v>292</v>
      </c>
      <c r="D249" s="2">
        <v>167259.56</v>
      </c>
    </row>
    <row r="250" spans="1:4">
      <c r="A250" s="36" t="s">
        <v>293</v>
      </c>
      <c r="B250">
        <v>-4</v>
      </c>
      <c r="C250" t="s">
        <v>294</v>
      </c>
      <c r="D250" s="2">
        <v>167259.56</v>
      </c>
    </row>
    <row r="251" spans="1:4">
      <c r="A251" s="36" t="s">
        <v>295</v>
      </c>
      <c r="B251">
        <v>-5</v>
      </c>
      <c r="C251" t="s">
        <v>294</v>
      </c>
      <c r="D251" s="2">
        <v>167259.56</v>
      </c>
    </row>
    <row r="252" spans="1:4">
      <c r="A252" s="36" t="s">
        <v>296</v>
      </c>
      <c r="B252">
        <v>-8</v>
      </c>
      <c r="C252" t="s">
        <v>294</v>
      </c>
      <c r="D252" s="2">
        <v>167259.56</v>
      </c>
    </row>
    <row r="253" spans="1:4">
      <c r="A253" s="36" t="s">
        <v>330</v>
      </c>
      <c r="B253">
        <v>-7</v>
      </c>
      <c r="C253" t="s">
        <v>196</v>
      </c>
      <c r="D253" s="2">
        <v>1358513588.04</v>
      </c>
    </row>
    <row r="254" spans="1:4">
      <c r="A254" s="36" t="s">
        <v>197</v>
      </c>
      <c r="B254">
        <v>0</v>
      </c>
      <c r="C254" t="s">
        <v>198</v>
      </c>
      <c r="D254" s="2">
        <v>144135793.43000001</v>
      </c>
    </row>
    <row r="255" spans="1:4">
      <c r="A255" s="36" t="s">
        <v>199</v>
      </c>
      <c r="B255">
        <v>-1</v>
      </c>
      <c r="C255" t="s">
        <v>198</v>
      </c>
      <c r="D255" s="2">
        <v>144135793.43000001</v>
      </c>
    </row>
    <row r="256" spans="1:4">
      <c r="A256" s="36" t="s">
        <v>200</v>
      </c>
      <c r="B256">
        <v>0</v>
      </c>
      <c r="C256" t="s">
        <v>198</v>
      </c>
      <c r="D256" s="2">
        <v>144135793.43000001</v>
      </c>
    </row>
    <row r="257" spans="1:13">
      <c r="A257" s="36" t="s">
        <v>201</v>
      </c>
      <c r="B257">
        <v>-4</v>
      </c>
      <c r="C257" t="s">
        <v>202</v>
      </c>
      <c r="D257" s="2">
        <v>1214377794.6099999</v>
      </c>
    </row>
    <row r="258" spans="1:13">
      <c r="A258" s="36" t="s">
        <v>203</v>
      </c>
      <c r="B258">
        <v>0</v>
      </c>
      <c r="C258" t="s">
        <v>202</v>
      </c>
      <c r="D258" s="2">
        <v>1214377794.6099999</v>
      </c>
    </row>
    <row r="259" spans="1:13">
      <c r="A259" s="36" t="s">
        <v>204</v>
      </c>
      <c r="B259">
        <v>-4</v>
      </c>
      <c r="C259" t="s">
        <v>912</v>
      </c>
      <c r="D259" s="2">
        <v>1214377794.6099999</v>
      </c>
    </row>
    <row r="260" spans="1:13">
      <c r="A260" s="36" t="s">
        <v>329</v>
      </c>
      <c r="B260">
        <v>-5</v>
      </c>
      <c r="C260" t="s">
        <v>205</v>
      </c>
      <c r="D260" s="2">
        <v>439007541.48000002</v>
      </c>
    </row>
    <row r="261" spans="1:13">
      <c r="A261" s="36" t="s">
        <v>206</v>
      </c>
      <c r="B261">
        <v>-9</v>
      </c>
      <c r="C261" t="s">
        <v>207</v>
      </c>
      <c r="D261" s="2">
        <v>428027204.41000003</v>
      </c>
    </row>
    <row r="262" spans="1:13">
      <c r="A262" s="36" t="s">
        <v>208</v>
      </c>
      <c r="B262">
        <v>-4</v>
      </c>
      <c r="C262" t="s">
        <v>209</v>
      </c>
      <c r="D262" s="2">
        <v>525655388.17000002</v>
      </c>
    </row>
    <row r="263" spans="1:13">
      <c r="A263" s="36" t="s">
        <v>210</v>
      </c>
      <c r="B263">
        <v>-9</v>
      </c>
      <c r="C263" t="s">
        <v>913</v>
      </c>
      <c r="D263" s="2">
        <v>877628162.90999997</v>
      </c>
    </row>
    <row r="264" spans="1:13">
      <c r="A264" s="36" t="s">
        <v>211</v>
      </c>
      <c r="B264">
        <v>-7</v>
      </c>
      <c r="C264" t="s">
        <v>914</v>
      </c>
      <c r="D264" s="2">
        <v>-351972774.74000001</v>
      </c>
    </row>
    <row r="265" spans="1:13">
      <c r="A265" s="36" t="s">
        <v>213</v>
      </c>
      <c r="B265">
        <v>0</v>
      </c>
      <c r="C265" t="s">
        <v>863</v>
      </c>
      <c r="D265" s="2">
        <v>-97628183.760000005</v>
      </c>
    </row>
    <row r="266" spans="1:13">
      <c r="A266" s="36" t="s">
        <v>214</v>
      </c>
      <c r="B266">
        <v>-1</v>
      </c>
      <c r="C266" t="s">
        <v>864</v>
      </c>
      <c r="D266" s="2">
        <v>-97628183.760000005</v>
      </c>
    </row>
    <row r="267" spans="1:13">
      <c r="A267" s="36" t="s">
        <v>297</v>
      </c>
      <c r="B267">
        <v>-8</v>
      </c>
      <c r="C267" t="s">
        <v>298</v>
      </c>
      <c r="D267" s="2">
        <v>10980337.07</v>
      </c>
    </row>
    <row r="268" spans="1:13">
      <c r="A268" s="36" t="s">
        <v>299</v>
      </c>
      <c r="B268">
        <v>-9</v>
      </c>
      <c r="C268" t="s">
        <v>298</v>
      </c>
      <c r="D268" s="2">
        <v>10980337.07</v>
      </c>
    </row>
    <row r="269" spans="1:13">
      <c r="A269" s="36" t="s">
        <v>300</v>
      </c>
      <c r="B269">
        <v>-7</v>
      </c>
      <c r="C269" t="s">
        <v>915</v>
      </c>
      <c r="D269" s="2">
        <v>10980337.07</v>
      </c>
    </row>
    <row r="270" spans="1:13">
      <c r="A270" s="36">
        <v>7</v>
      </c>
      <c r="B270">
        <v>-5</v>
      </c>
      <c r="C270" t="s">
        <v>215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>
      <c r="A271" s="36" t="s">
        <v>216</v>
      </c>
      <c r="B271">
        <v>-2</v>
      </c>
      <c r="C271" t="s">
        <v>217</v>
      </c>
      <c r="D271" s="2">
        <v>605440133.54999995</v>
      </c>
      <c r="F271" t="s">
        <v>221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>
      <c r="A272" s="36" t="s">
        <v>339</v>
      </c>
      <c r="B272">
        <v>-5</v>
      </c>
      <c r="C272" t="s">
        <v>218</v>
      </c>
      <c r="D272" s="2">
        <v>5572985.2599999998</v>
      </c>
      <c r="F272" t="s">
        <v>228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>
      <c r="A273" s="36" t="s">
        <v>219</v>
      </c>
      <c r="B273">
        <v>-9</v>
      </c>
      <c r="C273" t="s">
        <v>220</v>
      </c>
      <c r="D273" s="2">
        <v>5572985.2599999998</v>
      </c>
      <c r="F273" t="s">
        <v>580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>
      <c r="A274" s="36" t="s">
        <v>221</v>
      </c>
      <c r="B274">
        <v>0</v>
      </c>
      <c r="C274" t="s">
        <v>916</v>
      </c>
      <c r="D274" s="2">
        <v>5572985.2599999998</v>
      </c>
      <c r="H274" s="6">
        <f>+D296</f>
        <v>35692463.979999997</v>
      </c>
    </row>
    <row r="275" spans="1:9">
      <c r="A275" s="36" t="s">
        <v>223</v>
      </c>
      <c r="B275">
        <v>-9</v>
      </c>
      <c r="C275" t="s">
        <v>917</v>
      </c>
      <c r="D275" s="2">
        <v>5572985.2599999998</v>
      </c>
    </row>
    <row r="276" spans="1:9">
      <c r="A276" s="36" t="s">
        <v>340</v>
      </c>
      <c r="B276">
        <v>-3</v>
      </c>
      <c r="C276" t="s">
        <v>224</v>
      </c>
      <c r="D276" s="2">
        <v>53338295.229999997</v>
      </c>
    </row>
    <row r="277" spans="1:9">
      <c r="A277" s="36" t="s">
        <v>225</v>
      </c>
      <c r="B277">
        <v>-7</v>
      </c>
      <c r="C277" t="s">
        <v>226</v>
      </c>
      <c r="D277" s="2">
        <v>22893814.34</v>
      </c>
    </row>
    <row r="278" spans="1:9">
      <c r="A278" s="36" t="s">
        <v>227</v>
      </c>
      <c r="B278">
        <v>-5</v>
      </c>
      <c r="C278" t="s">
        <v>869</v>
      </c>
      <c r="D278" s="2">
        <v>22893814.34</v>
      </c>
    </row>
    <row r="279" spans="1:9">
      <c r="A279" s="36" t="s">
        <v>228</v>
      </c>
      <c r="B279">
        <v>-3</v>
      </c>
      <c r="C279" t="s">
        <v>870</v>
      </c>
      <c r="D279" s="2">
        <v>22893814.34</v>
      </c>
    </row>
    <row r="280" spans="1:9">
      <c r="A280" s="36" t="s">
        <v>566</v>
      </c>
      <c r="B280">
        <v>0</v>
      </c>
      <c r="C280" t="s">
        <v>567</v>
      </c>
      <c r="D280" s="2">
        <v>8867771.9600000009</v>
      </c>
    </row>
    <row r="281" spans="1:9">
      <c r="A281" s="36" t="s">
        <v>568</v>
      </c>
      <c r="B281">
        <v>-9</v>
      </c>
      <c r="C281" t="s">
        <v>918</v>
      </c>
      <c r="D281" s="2">
        <v>8867771.9600000009</v>
      </c>
    </row>
    <row r="282" spans="1:9">
      <c r="A282" s="36" t="s">
        <v>570</v>
      </c>
      <c r="B282">
        <v>-7</v>
      </c>
      <c r="C282" t="s">
        <v>571</v>
      </c>
      <c r="D282" s="2">
        <v>8049249.6299999999</v>
      </c>
    </row>
    <row r="283" spans="1:9">
      <c r="A283" s="153" t="s">
        <v>572</v>
      </c>
      <c r="B283" s="3">
        <v>-5</v>
      </c>
      <c r="C283" s="3" t="s">
        <v>573</v>
      </c>
      <c r="D283" s="154">
        <v>764977.85</v>
      </c>
    </row>
    <row r="284" spans="1:9">
      <c r="A284" s="153" t="s">
        <v>957</v>
      </c>
      <c r="B284" s="3">
        <v>-1</v>
      </c>
      <c r="C284" s="3" t="s">
        <v>958</v>
      </c>
      <c r="D284" s="154">
        <v>53544.480000000003</v>
      </c>
    </row>
    <row r="285" spans="1:9">
      <c r="A285" s="153" t="s">
        <v>576</v>
      </c>
      <c r="B285" s="3">
        <v>-8</v>
      </c>
      <c r="C285" s="3" t="s">
        <v>577</v>
      </c>
      <c r="D285" s="154">
        <v>21576708.93</v>
      </c>
      <c r="E285" s="93"/>
      <c r="F285" s="93"/>
      <c r="G285" s="93"/>
      <c r="H285" s="95"/>
      <c r="I285" s="93"/>
    </row>
    <row r="286" spans="1:9">
      <c r="A286" s="153" t="s">
        <v>578</v>
      </c>
      <c r="B286" s="3">
        <v>-3</v>
      </c>
      <c r="C286" s="3" t="s">
        <v>579</v>
      </c>
      <c r="D286" s="154">
        <v>21576708.93</v>
      </c>
      <c r="E286" s="93"/>
      <c r="F286" s="93"/>
      <c r="G286" s="93"/>
      <c r="H286" s="95"/>
      <c r="I286" s="93"/>
    </row>
    <row r="287" spans="1:9">
      <c r="A287" s="153" t="s">
        <v>580</v>
      </c>
      <c r="B287" s="3">
        <v>-8</v>
      </c>
      <c r="C287" s="3" t="s">
        <v>581</v>
      </c>
      <c r="D287" s="154">
        <v>21576708.93</v>
      </c>
      <c r="E287" s="93"/>
      <c r="F287" s="93"/>
      <c r="G287" s="93"/>
      <c r="H287" s="95"/>
      <c r="I287" s="93"/>
    </row>
    <row r="288" spans="1:9">
      <c r="A288" s="153" t="s">
        <v>332</v>
      </c>
      <c r="B288" s="3">
        <v>-8</v>
      </c>
      <c r="C288" s="3" t="s">
        <v>229</v>
      </c>
      <c r="D288" s="154">
        <v>510836389.07999998</v>
      </c>
      <c r="E288" s="93"/>
      <c r="F288" s="93"/>
      <c r="G288" s="93"/>
      <c r="H288" s="95"/>
      <c r="I288" s="93"/>
    </row>
    <row r="289" spans="1:9">
      <c r="A289" s="153" t="s">
        <v>230</v>
      </c>
      <c r="B289" s="3">
        <v>-5</v>
      </c>
      <c r="C289" s="3" t="s">
        <v>231</v>
      </c>
      <c r="D289" s="154">
        <v>510836389.07999998</v>
      </c>
      <c r="E289" s="93"/>
      <c r="F289" s="93"/>
      <c r="G289" s="93"/>
      <c r="H289" s="95"/>
      <c r="I289" s="93"/>
    </row>
    <row r="290" spans="1:9">
      <c r="A290" s="153" t="s">
        <v>232</v>
      </c>
      <c r="B290" s="3">
        <v>0</v>
      </c>
      <c r="C290" s="3" t="s">
        <v>231</v>
      </c>
      <c r="D290" s="154">
        <v>510836389.07999998</v>
      </c>
      <c r="E290" s="93"/>
      <c r="F290" s="93"/>
      <c r="G290" s="93"/>
      <c r="H290" s="95"/>
      <c r="I290" s="93"/>
    </row>
    <row r="291" spans="1:9" ht="17.25">
      <c r="A291" s="153" t="s">
        <v>233</v>
      </c>
      <c r="B291" s="3">
        <v>-5</v>
      </c>
      <c r="C291" s="3" t="s">
        <v>871</v>
      </c>
      <c r="D291" s="154">
        <v>455154052.72000003</v>
      </c>
      <c r="E291" s="157">
        <v>422559501.06999999</v>
      </c>
      <c r="F291" s="100">
        <f>+D291-E291</f>
        <v>32594551.650000036</v>
      </c>
      <c r="G291" s="94">
        <f>+F291+D292</f>
        <v>81493246.010000035</v>
      </c>
      <c r="H291" s="95"/>
      <c r="I291" s="93"/>
    </row>
    <row r="292" spans="1:9">
      <c r="A292" s="153" t="s">
        <v>694</v>
      </c>
      <c r="B292" s="3">
        <v>-1</v>
      </c>
      <c r="C292" s="3" t="s">
        <v>959</v>
      </c>
      <c r="D292" s="154">
        <v>48898694.359999999</v>
      </c>
      <c r="E292" s="93"/>
      <c r="F292" s="93"/>
      <c r="G292" s="93"/>
      <c r="H292" s="95"/>
      <c r="I292" s="93"/>
    </row>
    <row r="293" spans="1:9">
      <c r="A293" s="153" t="s">
        <v>234</v>
      </c>
      <c r="B293" s="3">
        <v>-2</v>
      </c>
      <c r="C293" s="3" t="s">
        <v>235</v>
      </c>
      <c r="D293" s="154">
        <v>6783642</v>
      </c>
      <c r="E293" s="93"/>
      <c r="F293" s="93"/>
      <c r="G293" s="93"/>
      <c r="H293" s="95"/>
      <c r="I293" s="93"/>
    </row>
    <row r="294" spans="1:9">
      <c r="A294" s="153" t="s">
        <v>335</v>
      </c>
      <c r="B294" s="3">
        <v>-6</v>
      </c>
      <c r="C294" s="3" t="s">
        <v>236</v>
      </c>
      <c r="D294" s="154">
        <v>35692463.979999997</v>
      </c>
      <c r="E294" s="93"/>
      <c r="F294" s="93"/>
      <c r="G294" s="93"/>
      <c r="H294" s="95"/>
      <c r="I294" s="93"/>
    </row>
    <row r="295" spans="1:9">
      <c r="A295" s="153" t="s">
        <v>237</v>
      </c>
      <c r="B295" s="3">
        <v>0</v>
      </c>
      <c r="C295" s="3" t="s">
        <v>238</v>
      </c>
      <c r="D295" s="154">
        <v>35692463.979999997</v>
      </c>
      <c r="E295" s="93"/>
      <c r="F295" s="93"/>
      <c r="G295" s="93"/>
      <c r="H295" s="95"/>
      <c r="I295" s="93"/>
    </row>
    <row r="296" spans="1:9">
      <c r="A296" s="153" t="s">
        <v>336</v>
      </c>
      <c r="B296" s="3">
        <v>-9</v>
      </c>
      <c r="C296" s="3" t="s">
        <v>872</v>
      </c>
      <c r="D296" s="154">
        <v>35692463.979999997</v>
      </c>
      <c r="E296" s="93" t="s">
        <v>334</v>
      </c>
      <c r="F296" s="93" t="s">
        <v>43</v>
      </c>
      <c r="G296" s="95">
        <v>91432682.060000002</v>
      </c>
      <c r="H296" s="95"/>
      <c r="I296" s="93"/>
    </row>
    <row r="297" spans="1:9">
      <c r="A297" s="153" t="s">
        <v>333</v>
      </c>
      <c r="B297" s="3">
        <v>-1</v>
      </c>
      <c r="C297" s="3" t="s">
        <v>873</v>
      </c>
      <c r="D297" s="154">
        <v>35692463.979999997</v>
      </c>
      <c r="E297" s="93" t="s">
        <v>44</v>
      </c>
      <c r="F297" s="93" t="s">
        <v>45</v>
      </c>
      <c r="G297" s="95">
        <v>91432682.060000002</v>
      </c>
      <c r="H297" s="95"/>
      <c r="I297" s="93"/>
    </row>
    <row r="298" spans="1:9">
      <c r="A298" s="153">
        <v>9</v>
      </c>
      <c r="B298" s="3">
        <v>-8</v>
      </c>
      <c r="C298" s="3" t="s">
        <v>625</v>
      </c>
      <c r="D298" s="154">
        <v>86861688.530000001</v>
      </c>
      <c r="E298" s="93" t="s">
        <v>46</v>
      </c>
      <c r="F298" s="93" t="s">
        <v>47</v>
      </c>
      <c r="G298" s="95">
        <v>91432682.060000002</v>
      </c>
      <c r="H298" s="95"/>
      <c r="I298" s="93"/>
    </row>
    <row r="299" spans="1:9">
      <c r="A299" s="36" t="s">
        <v>639</v>
      </c>
      <c r="B299">
        <v>-8</v>
      </c>
      <c r="C299" t="s">
        <v>625</v>
      </c>
      <c r="D299" s="2">
        <v>86861688.530000001</v>
      </c>
      <c r="E299" s="93" t="s">
        <v>48</v>
      </c>
      <c r="F299" s="93" t="s">
        <v>894</v>
      </c>
      <c r="G299" s="95">
        <v>79311117.939999998</v>
      </c>
      <c r="H299" s="95">
        <f>+F291-G299</f>
        <v>-46716566.289999962</v>
      </c>
      <c r="I299" s="93"/>
    </row>
    <row r="300" spans="1:9">
      <c r="A300" s="36" t="s">
        <v>640</v>
      </c>
      <c r="B300">
        <v>-1</v>
      </c>
      <c r="C300" t="s">
        <v>628</v>
      </c>
      <c r="D300" s="2">
        <v>86861688.530000001</v>
      </c>
      <c r="E300" s="93" t="s">
        <v>49</v>
      </c>
      <c r="F300" s="93" t="s">
        <v>895</v>
      </c>
      <c r="G300" s="95">
        <v>12121564.119999999</v>
      </c>
      <c r="H300" s="95"/>
      <c r="I300" s="93"/>
    </row>
    <row r="301" spans="1:9">
      <c r="A301" s="36" t="s">
        <v>641</v>
      </c>
      <c r="B301">
        <v>-5</v>
      </c>
      <c r="C301" t="s">
        <v>642</v>
      </c>
      <c r="D301" s="2">
        <v>86861688.530000001</v>
      </c>
      <c r="E301" s="93"/>
      <c r="F301" s="93"/>
      <c r="G301" s="93"/>
      <c r="H301" s="95"/>
      <c r="I301" s="93"/>
    </row>
    <row r="302" spans="1:9">
      <c r="A302" s="36" t="s">
        <v>643</v>
      </c>
      <c r="B302">
        <v>-1</v>
      </c>
      <c r="C302" t="s">
        <v>644</v>
      </c>
      <c r="D302" s="2">
        <v>86861688.530000001</v>
      </c>
      <c r="E302" s="93"/>
      <c r="F302" s="93"/>
      <c r="G302" s="93"/>
      <c r="H302" s="95"/>
      <c r="I302" s="93"/>
    </row>
    <row r="303" spans="1:9">
      <c r="A303" s="36" t="s">
        <v>645</v>
      </c>
      <c r="B303">
        <v>-6</v>
      </c>
      <c r="C303" t="s">
        <v>646</v>
      </c>
      <c r="D303" s="2">
        <v>39292916.829999998</v>
      </c>
      <c r="E303" s="93"/>
      <c r="F303" s="93"/>
      <c r="G303" s="93"/>
      <c r="H303" s="95"/>
      <c r="I303" s="93"/>
    </row>
    <row r="304" spans="1:9">
      <c r="A304" s="36" t="s">
        <v>647</v>
      </c>
      <c r="B304">
        <v>-4</v>
      </c>
      <c r="C304" t="s">
        <v>648</v>
      </c>
      <c r="D304" s="2">
        <v>47568771.700000003</v>
      </c>
      <c r="E304" s="93"/>
      <c r="F304" s="93"/>
      <c r="G304" s="93"/>
      <c r="H304" s="95"/>
      <c r="I304" s="93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49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/>
  <cols>
    <col min="1" max="1" width="16.85546875" style="93" bestFit="1" customWidth="1"/>
    <col min="2" max="2" width="3.7109375" style="93" bestFit="1" customWidth="1"/>
    <col min="3" max="3" width="57.42578125" style="93" customWidth="1"/>
    <col min="4" max="4" width="21.42578125" style="93" customWidth="1"/>
    <col min="5" max="6" width="16.5703125" style="95" hidden="1" customWidth="1"/>
    <col min="7" max="7" width="41.7109375" style="93" hidden="1" customWidth="1"/>
    <col min="8" max="8" width="16.5703125" style="95" hidden="1" customWidth="1"/>
    <col min="9" max="9" width="16.5703125" style="96" hidden="1" customWidth="1"/>
    <col min="10" max="10" width="16.140625" style="93" hidden="1" customWidth="1"/>
    <col min="11" max="11" width="19.28515625" style="93" hidden="1" customWidth="1"/>
    <col min="12" max="12" width="16.140625" style="93" hidden="1" customWidth="1"/>
    <col min="13" max="13" width="15" style="93" hidden="1" customWidth="1"/>
    <col min="14" max="14" width="14" style="93" hidden="1" customWidth="1"/>
    <col min="15" max="15" width="0" style="93" hidden="1" customWidth="1"/>
    <col min="16" max="16384" width="9.140625" style="93"/>
  </cols>
  <sheetData>
    <row r="1" spans="1:12">
      <c r="A1" s="92" t="s">
        <v>986</v>
      </c>
      <c r="B1" s="93" t="s">
        <v>674</v>
      </c>
      <c r="C1" s="93" t="s">
        <v>961</v>
      </c>
      <c r="D1" s="93" t="s">
        <v>711</v>
      </c>
    </row>
    <row r="2" spans="1:12">
      <c r="A2" s="97">
        <v>0.61884259259259256</v>
      </c>
      <c r="C2" s="93" t="s">
        <v>962</v>
      </c>
      <c r="D2" s="93" t="s">
        <v>963</v>
      </c>
      <c r="G2" s="93" t="s">
        <v>320</v>
      </c>
    </row>
    <row r="3" spans="1:12">
      <c r="A3" s="92" t="s">
        <v>651</v>
      </c>
      <c r="B3" s="93" t="s">
        <v>652</v>
      </c>
      <c r="C3" s="93" t="s">
        <v>964</v>
      </c>
      <c r="D3" s="93" t="s">
        <v>965</v>
      </c>
    </row>
    <row r="4" spans="1:12">
      <c r="A4" s="92" t="s">
        <v>616</v>
      </c>
      <c r="B4" s="93" t="s">
        <v>617</v>
      </c>
      <c r="C4" s="93" t="s">
        <v>966</v>
      </c>
      <c r="D4" s="93" t="s">
        <v>967</v>
      </c>
    </row>
    <row r="5" spans="1:12">
      <c r="A5" s="92" t="s">
        <v>618</v>
      </c>
      <c r="B5" s="93" t="s">
        <v>619</v>
      </c>
      <c r="C5" s="93" t="s">
        <v>620</v>
      </c>
    </row>
    <row r="6" spans="1:12">
      <c r="A6" s="92" t="s">
        <v>616</v>
      </c>
      <c r="B6" s="93" t="s">
        <v>617</v>
      </c>
      <c r="C6" s="93" t="s">
        <v>966</v>
      </c>
      <c r="D6" s="93" t="s">
        <v>967</v>
      </c>
      <c r="E6" s="102" t="s">
        <v>368</v>
      </c>
      <c r="F6" s="102"/>
      <c r="G6" s="98" t="s">
        <v>979</v>
      </c>
      <c r="H6" s="102">
        <v>2013</v>
      </c>
      <c r="I6" s="96" t="s">
        <v>980</v>
      </c>
    </row>
    <row r="7" spans="1:12">
      <c r="A7" s="92"/>
      <c r="C7" s="94"/>
      <c r="D7" s="94"/>
    </row>
    <row r="8" spans="1:12">
      <c r="A8" s="92">
        <v>1</v>
      </c>
      <c r="B8" s="93">
        <v>-7</v>
      </c>
      <c r="C8" s="94" t="s">
        <v>345</v>
      </c>
      <c r="D8" s="94">
        <v>1500896499.3099999</v>
      </c>
      <c r="E8" s="95">
        <f>VLOOKUP(A8,'Balancete 2014'!A:D,4,0)</f>
        <v>1641432710.99</v>
      </c>
      <c r="H8" s="95">
        <v>1154384180.3499999</v>
      </c>
      <c r="J8" s="106"/>
      <c r="K8" s="106" t="s">
        <v>981</v>
      </c>
    </row>
    <row r="9" spans="1:12">
      <c r="A9" s="92" t="s">
        <v>315</v>
      </c>
      <c r="B9" s="93">
        <v>-4</v>
      </c>
      <c r="C9" s="93" t="s">
        <v>346</v>
      </c>
      <c r="D9" s="94">
        <v>578.22</v>
      </c>
      <c r="E9" s="95">
        <f>VLOOKUP(A9,'Balancete 2014'!A:D,4,0)</f>
        <v>276.11</v>
      </c>
      <c r="H9" s="95">
        <v>2130.14</v>
      </c>
      <c r="J9" s="103">
        <v>7</v>
      </c>
      <c r="K9" s="104">
        <f>+D258</f>
        <v>657374339.66999996</v>
      </c>
    </row>
    <row r="10" spans="1:12">
      <c r="A10" s="92" t="s">
        <v>347</v>
      </c>
      <c r="B10" s="93">
        <v>-2</v>
      </c>
      <c r="C10" s="93" t="s">
        <v>348</v>
      </c>
      <c r="D10" s="94">
        <v>526.24</v>
      </c>
      <c r="E10" s="95">
        <f>VLOOKUP(A10,'Balancete 2014'!A:D,4,0)</f>
        <v>224.13</v>
      </c>
      <c r="H10" s="95">
        <v>289.8</v>
      </c>
      <c r="J10" s="103">
        <v>8</v>
      </c>
      <c r="K10" s="104">
        <f>-D98</f>
        <v>-55496900.32</v>
      </c>
    </row>
    <row r="11" spans="1:12">
      <c r="A11" s="92" t="s">
        <v>349</v>
      </c>
      <c r="B11" s="93">
        <v>0</v>
      </c>
      <c r="C11" s="93" t="s">
        <v>348</v>
      </c>
      <c r="D11" s="94">
        <v>526.24</v>
      </c>
      <c r="E11" s="95">
        <f>VLOOKUP(A11,'Balancete 2014'!A:D,4,0)</f>
        <v>224.13</v>
      </c>
      <c r="H11" s="95">
        <v>289.8</v>
      </c>
      <c r="J11" s="103" t="s">
        <v>982</v>
      </c>
      <c r="K11" s="104">
        <f>+K9+K10-8556915.62</f>
        <v>593320523.7299999</v>
      </c>
      <c r="L11" s="100">
        <f>+K9+K10</f>
        <v>601877439.3499999</v>
      </c>
    </row>
    <row r="12" spans="1:12">
      <c r="A12" s="92" t="s">
        <v>351</v>
      </c>
      <c r="B12" s="93">
        <v>-5</v>
      </c>
      <c r="C12" s="93" t="s">
        <v>348</v>
      </c>
      <c r="D12" s="94">
        <v>526.24</v>
      </c>
      <c r="E12" s="95">
        <f>VLOOKUP(A12,'Balancete 2014'!A:D,4,0)</f>
        <v>224.13</v>
      </c>
      <c r="H12" s="95">
        <v>289.8</v>
      </c>
      <c r="J12" s="105">
        <v>0.05</v>
      </c>
      <c r="K12" s="104">
        <f>+K11*J12</f>
        <v>29666026.186499998</v>
      </c>
    </row>
    <row r="13" spans="1:12">
      <c r="A13" s="92" t="s">
        <v>352</v>
      </c>
      <c r="B13" s="93">
        <v>-3</v>
      </c>
      <c r="C13" s="93" t="s">
        <v>348</v>
      </c>
      <c r="D13" s="94">
        <v>526.24</v>
      </c>
      <c r="E13" s="95">
        <f>VLOOKUP(A13,'Balancete 2014'!A:D,4,0)</f>
        <v>224.13</v>
      </c>
      <c r="H13" s="95">
        <v>289.8</v>
      </c>
      <c r="J13" s="103" t="s">
        <v>983</v>
      </c>
      <c r="K13" s="104">
        <f>+K11-K12</f>
        <v>563654497.54349995</v>
      </c>
    </row>
    <row r="14" spans="1:12">
      <c r="A14" s="92" t="s">
        <v>353</v>
      </c>
      <c r="B14" s="93">
        <v>0</v>
      </c>
      <c r="C14" s="93" t="s">
        <v>354</v>
      </c>
      <c r="D14" s="94">
        <v>51.98</v>
      </c>
      <c r="E14" s="95">
        <f>VLOOKUP(A14,'Balancete 2014'!A:D,4,0)</f>
        <v>51.98</v>
      </c>
      <c r="H14" s="95">
        <v>1840.34</v>
      </c>
      <c r="J14" s="107">
        <v>0.25</v>
      </c>
      <c r="K14" s="108">
        <f>+K13*J14</f>
        <v>140913624.38587499</v>
      </c>
    </row>
    <row r="15" spans="1:12">
      <c r="A15" s="92" t="s">
        <v>355</v>
      </c>
      <c r="B15" s="93">
        <v>-2</v>
      </c>
      <c r="C15" s="93" t="s">
        <v>354</v>
      </c>
      <c r="D15" s="94">
        <v>51.98</v>
      </c>
      <c r="E15" s="95">
        <f>VLOOKUP(A15,'Balancete 2014'!A:D,4,0)</f>
        <v>51.98</v>
      </c>
      <c r="H15" s="95">
        <v>1840.34</v>
      </c>
      <c r="J15" s="93" t="s">
        <v>984</v>
      </c>
      <c r="K15" s="95">
        <f>+K13-K14</f>
        <v>422740873.15762496</v>
      </c>
    </row>
    <row r="16" spans="1:12">
      <c r="A16" s="92" t="s">
        <v>356</v>
      </c>
      <c r="B16" s="93">
        <v>-8</v>
      </c>
      <c r="C16" s="93" t="s">
        <v>354</v>
      </c>
      <c r="D16" s="94">
        <v>51.98</v>
      </c>
      <c r="E16" s="95">
        <f>VLOOKUP(A16,'Balancete 2014'!A:D,4,0)</f>
        <v>51.98</v>
      </c>
      <c r="H16" s="95">
        <v>1840.34</v>
      </c>
      <c r="K16" s="95"/>
    </row>
    <row r="17" spans="1:11">
      <c r="A17" s="92" t="s">
        <v>357</v>
      </c>
      <c r="B17" s="93">
        <v>-6</v>
      </c>
      <c r="C17" s="94" t="s">
        <v>354</v>
      </c>
      <c r="D17" s="94">
        <v>51.98</v>
      </c>
      <c r="E17" s="95">
        <f>VLOOKUP(A17,'Balancete 2014'!A:D,4,0)</f>
        <v>51.98</v>
      </c>
      <c r="H17" s="95">
        <v>1840.34</v>
      </c>
      <c r="K17" s="95">
        <v>-8556915.6199999992</v>
      </c>
    </row>
    <row r="18" spans="1:11">
      <c r="A18" s="92" t="s">
        <v>316</v>
      </c>
      <c r="B18" s="93">
        <v>-1</v>
      </c>
      <c r="C18" s="94" t="s">
        <v>358</v>
      </c>
      <c r="D18" s="94">
        <v>103286039.34999999</v>
      </c>
      <c r="E18" s="95">
        <f>VLOOKUP(A18,'Balancete 2014'!A:D,4,0)</f>
        <v>93987063.079999998</v>
      </c>
      <c r="H18" s="95">
        <v>84760131.480000004</v>
      </c>
      <c r="I18" s="99">
        <f>+D18-E18</f>
        <v>9298976.2699999958</v>
      </c>
    </row>
    <row r="19" spans="1:11">
      <c r="A19" s="92" t="s">
        <v>359</v>
      </c>
      <c r="B19" s="93">
        <v>0</v>
      </c>
      <c r="C19" s="94" t="s">
        <v>360</v>
      </c>
      <c r="D19" s="94">
        <v>103286039.34999999</v>
      </c>
      <c r="E19" s="95">
        <f>VLOOKUP(A19,'Balancete 2014'!A:D,4,0)</f>
        <v>93987063.079999998</v>
      </c>
      <c r="H19" s="95">
        <v>84760131.480000004</v>
      </c>
      <c r="I19" s="99">
        <f t="shared" ref="I19:I82" si="0">+D19-E19</f>
        <v>9298976.2699999958</v>
      </c>
    </row>
    <row r="20" spans="1:11">
      <c r="A20" s="92" t="s">
        <v>361</v>
      </c>
      <c r="B20" s="93">
        <v>-3</v>
      </c>
      <c r="C20" s="94" t="s">
        <v>362</v>
      </c>
      <c r="D20" s="94">
        <v>103286039.34999999</v>
      </c>
      <c r="E20" s="95">
        <f>VLOOKUP(A20,'Balancete 2014'!A:D,4,0)</f>
        <v>93987063.079999998</v>
      </c>
      <c r="H20" s="95">
        <v>84760131.480000004</v>
      </c>
      <c r="I20" s="99">
        <f t="shared" si="0"/>
        <v>9298976.2699999958</v>
      </c>
    </row>
    <row r="21" spans="1:11">
      <c r="A21" s="92" t="s">
        <v>371</v>
      </c>
      <c r="B21" s="93">
        <v>-8</v>
      </c>
      <c r="C21" s="94" t="s">
        <v>372</v>
      </c>
      <c r="D21" s="94">
        <v>103286039.34999999</v>
      </c>
      <c r="E21" s="95">
        <f>VLOOKUP(A21,'Balancete 2014'!A:D,4,0)</f>
        <v>93987063.079999998</v>
      </c>
      <c r="H21" s="95" t="e">
        <v>#N/A</v>
      </c>
      <c r="I21" s="99">
        <f t="shared" si="0"/>
        <v>9298976.2699999958</v>
      </c>
    </row>
    <row r="22" spans="1:11">
      <c r="A22" s="92" t="s">
        <v>373</v>
      </c>
      <c r="B22" s="93">
        <v>-9</v>
      </c>
      <c r="C22" s="94" t="s">
        <v>878</v>
      </c>
      <c r="D22" s="94">
        <v>103286039.34999999</v>
      </c>
      <c r="E22" s="95">
        <f>VLOOKUP(A22,'Balancete 2014'!A:D,4,0)</f>
        <v>93987063.079999998</v>
      </c>
      <c r="H22" s="95" t="e">
        <v>#N/A</v>
      </c>
      <c r="I22" s="99">
        <f t="shared" si="0"/>
        <v>9298976.2699999958</v>
      </c>
    </row>
    <row r="23" spans="1:11">
      <c r="A23" s="92" t="s">
        <v>364</v>
      </c>
      <c r="B23" s="93">
        <v>-9</v>
      </c>
      <c r="C23" s="94" t="s">
        <v>365</v>
      </c>
      <c r="D23" s="94">
        <v>1362231400.8299999</v>
      </c>
      <c r="E23" s="95">
        <f>VLOOKUP(A23,'Balancete 2014'!A:D,4,0)</f>
        <v>1354076882.9100001</v>
      </c>
      <c r="H23" s="95">
        <v>907203117.01999998</v>
      </c>
      <c r="I23" s="99">
        <f t="shared" si="0"/>
        <v>8154517.9199998379</v>
      </c>
    </row>
    <row r="24" spans="1:11">
      <c r="A24" s="92" t="s">
        <v>366</v>
      </c>
      <c r="B24" s="93">
        <v>-7</v>
      </c>
      <c r="C24" s="94" t="s">
        <v>367</v>
      </c>
      <c r="D24" s="94">
        <v>1362231400.8299999</v>
      </c>
      <c r="E24" s="95">
        <f>VLOOKUP(A24,'Balancete 2014'!A:D,4,0)</f>
        <v>1354076882.9100001</v>
      </c>
      <c r="H24" s="95">
        <v>907203117.01999998</v>
      </c>
      <c r="I24" s="99">
        <f t="shared" si="0"/>
        <v>8154517.9199998379</v>
      </c>
    </row>
    <row r="25" spans="1:11">
      <c r="A25" s="92" t="s">
        <v>318</v>
      </c>
      <c r="B25" s="93">
        <v>0</v>
      </c>
      <c r="C25" s="94" t="s">
        <v>0</v>
      </c>
      <c r="D25" s="94">
        <v>612939699.64999998</v>
      </c>
      <c r="E25" s="95">
        <f>VLOOKUP(A25,'Balancete 2014'!A:D,4,0)</f>
        <v>293016857.47000003</v>
      </c>
      <c r="H25" s="95">
        <v>285433790.88</v>
      </c>
      <c r="I25" s="99">
        <f t="shared" si="0"/>
        <v>319922842.17999995</v>
      </c>
    </row>
    <row r="26" spans="1:11">
      <c r="A26" s="92" t="s">
        <v>1</v>
      </c>
      <c r="B26" s="93">
        <v>-7</v>
      </c>
      <c r="C26" s="94" t="s">
        <v>2</v>
      </c>
      <c r="D26" s="94">
        <v>612939699.64999998</v>
      </c>
      <c r="E26" s="95">
        <f>VLOOKUP(A26,'Balancete 2014'!A:D,4,0)</f>
        <v>293016857.47000003</v>
      </c>
      <c r="H26" s="95">
        <v>285433790.88</v>
      </c>
      <c r="I26" s="99">
        <f t="shared" si="0"/>
        <v>319922842.17999995</v>
      </c>
    </row>
    <row r="27" spans="1:11">
      <c r="A27" s="92" t="s">
        <v>3</v>
      </c>
      <c r="B27" s="93">
        <v>-5</v>
      </c>
      <c r="C27" s="94" t="s">
        <v>795</v>
      </c>
      <c r="D27" s="94">
        <v>612939699.64999998</v>
      </c>
      <c r="E27" s="95">
        <f>VLOOKUP(A27,'Balancete 2014'!A:D,4,0)</f>
        <v>293016857.47000003</v>
      </c>
      <c r="H27" s="95">
        <v>285433790.88</v>
      </c>
      <c r="I27" s="99">
        <f t="shared" si="0"/>
        <v>319922842.17999995</v>
      </c>
    </row>
    <row r="28" spans="1:11">
      <c r="A28" s="92" t="s">
        <v>376</v>
      </c>
      <c r="B28" s="93">
        <v>-3</v>
      </c>
      <c r="C28" s="94" t="s">
        <v>377</v>
      </c>
      <c r="D28" s="94">
        <v>26092686.260000002</v>
      </c>
      <c r="E28" s="95">
        <f>VLOOKUP(A28,'Balancete 2014'!A:D,4,0)</f>
        <v>313424219.36000001</v>
      </c>
      <c r="H28" s="95" t="e">
        <v>#N/A</v>
      </c>
      <c r="I28" s="99">
        <f t="shared" si="0"/>
        <v>-287331533.10000002</v>
      </c>
    </row>
    <row r="29" spans="1:11">
      <c r="A29" s="92" t="s">
        <v>378</v>
      </c>
      <c r="B29" s="93">
        <v>-6</v>
      </c>
      <c r="C29" s="94" t="s">
        <v>379</v>
      </c>
      <c r="D29" s="94">
        <v>26092686.260000002</v>
      </c>
      <c r="E29" s="95">
        <f>VLOOKUP(A29,'Balancete 2014'!A:D,4,0)</f>
        <v>313424219.36000001</v>
      </c>
      <c r="H29" s="95" t="e">
        <v>#N/A</v>
      </c>
      <c r="I29" s="99">
        <f t="shared" si="0"/>
        <v>-287331533.10000002</v>
      </c>
    </row>
    <row r="30" spans="1:11">
      <c r="A30" s="92" t="s">
        <v>380</v>
      </c>
      <c r="B30" s="93">
        <v>-4</v>
      </c>
      <c r="C30" s="94" t="s">
        <v>879</v>
      </c>
      <c r="D30" s="94">
        <v>26092686.260000002</v>
      </c>
      <c r="E30" s="95">
        <f>VLOOKUP(A30,'Balancete 2014'!A:D,4,0)</f>
        <v>313424219.36000001</v>
      </c>
      <c r="H30" s="95" t="e">
        <v>#N/A</v>
      </c>
      <c r="I30" s="99">
        <f t="shared" si="0"/>
        <v>-287331533.10000002</v>
      </c>
    </row>
    <row r="31" spans="1:11">
      <c r="A31" s="92" t="s">
        <v>317</v>
      </c>
      <c r="B31" s="93">
        <v>-4</v>
      </c>
      <c r="C31" s="94" t="s">
        <v>4</v>
      </c>
      <c r="D31" s="94">
        <v>723199014.91999996</v>
      </c>
      <c r="E31" s="95">
        <f>VLOOKUP(A31,'Balancete 2014'!A:D,4,0)</f>
        <v>747635806.08000004</v>
      </c>
      <c r="H31" s="95">
        <v>621769326.13999999</v>
      </c>
      <c r="I31" s="99">
        <f t="shared" si="0"/>
        <v>-24436791.160000086</v>
      </c>
    </row>
    <row r="32" spans="1:11">
      <c r="A32" s="92" t="s">
        <v>5</v>
      </c>
      <c r="B32" s="93">
        <v>0</v>
      </c>
      <c r="C32" s="94" t="s">
        <v>6</v>
      </c>
      <c r="D32" s="94">
        <v>723199014.91999996</v>
      </c>
      <c r="E32" s="95">
        <f>VLOOKUP(A32,'Balancete 2014'!A:D,4,0)</f>
        <v>747635806.08000004</v>
      </c>
      <c r="H32" s="95">
        <v>588940372.79999995</v>
      </c>
      <c r="I32" s="99">
        <f t="shared" si="0"/>
        <v>-24436791.160000086</v>
      </c>
    </row>
    <row r="33" spans="1:11">
      <c r="A33" s="92" t="s">
        <v>7</v>
      </c>
      <c r="B33" s="93">
        <v>-7</v>
      </c>
      <c r="C33" s="94" t="s">
        <v>880</v>
      </c>
      <c r="D33" s="94">
        <v>723199014.91999996</v>
      </c>
      <c r="E33" s="95">
        <f>VLOOKUP(A33,'Balancete 2014'!A:D,4,0)</f>
        <v>747635806.08000004</v>
      </c>
      <c r="G33" s="100">
        <f>D33-E33</f>
        <v>-24436791.160000086</v>
      </c>
      <c r="H33" s="95">
        <v>588940372.79999995</v>
      </c>
      <c r="I33" s="99">
        <f t="shared" si="0"/>
        <v>-24436791.160000086</v>
      </c>
    </row>
    <row r="34" spans="1:11">
      <c r="A34" s="92" t="s">
        <v>12</v>
      </c>
      <c r="B34" s="93">
        <v>-5</v>
      </c>
      <c r="C34" s="94" t="s">
        <v>13</v>
      </c>
      <c r="D34" s="94">
        <v>35378480.909999996</v>
      </c>
      <c r="E34" s="95">
        <f>VLOOKUP(A34,'Balancete 2014'!A:D,4,0)</f>
        <v>193368488.88999999</v>
      </c>
      <c r="H34" s="95">
        <v>162418801.71000001</v>
      </c>
      <c r="I34" s="99">
        <f t="shared" si="0"/>
        <v>-157990007.97999999</v>
      </c>
    </row>
    <row r="35" spans="1:11">
      <c r="A35" s="92" t="s">
        <v>319</v>
      </c>
      <c r="B35" s="93">
        <v>0</v>
      </c>
      <c r="C35" s="94" t="s">
        <v>14</v>
      </c>
      <c r="D35" s="94">
        <v>31860374.59</v>
      </c>
      <c r="E35" s="95">
        <f>VLOOKUP(A35,'Balancete 2014'!A:D,4,0)</f>
        <v>193288193.13999999</v>
      </c>
      <c r="H35" s="95">
        <v>160864686.08000001</v>
      </c>
      <c r="I35" s="99">
        <f t="shared" si="0"/>
        <v>-161427818.54999998</v>
      </c>
    </row>
    <row r="36" spans="1:11">
      <c r="A36" s="92" t="s">
        <v>15</v>
      </c>
      <c r="B36" s="93">
        <v>-1</v>
      </c>
      <c r="C36" s="94" t="s">
        <v>16</v>
      </c>
      <c r="D36" s="94">
        <v>31860374.59</v>
      </c>
      <c r="E36" s="95">
        <f>VLOOKUP(A36,'Balancete 2014'!A:D,4,0)</f>
        <v>193288193.13999999</v>
      </c>
      <c r="H36" s="95">
        <v>160864686.08000001</v>
      </c>
      <c r="I36" s="99">
        <f t="shared" si="0"/>
        <v>-161427818.54999998</v>
      </c>
    </row>
    <row r="37" spans="1:11">
      <c r="A37" s="156" t="s">
        <v>17</v>
      </c>
      <c r="B37" s="119">
        <v>-3</v>
      </c>
      <c r="C37" s="128" t="s">
        <v>796</v>
      </c>
      <c r="D37" s="128">
        <v>31860374.59</v>
      </c>
      <c r="E37" s="95">
        <f>VLOOKUP(A37,'Balancete 2014'!A:D,4,0)</f>
        <v>193288193.13999999</v>
      </c>
      <c r="H37" s="95">
        <v>160864686.08000001</v>
      </c>
      <c r="I37" s="99">
        <f t="shared" si="0"/>
        <v>-161427818.54999998</v>
      </c>
    </row>
    <row r="38" spans="1:11">
      <c r="A38" s="156" t="s">
        <v>18</v>
      </c>
      <c r="B38" s="119">
        <v>-1</v>
      </c>
      <c r="C38" s="128" t="s">
        <v>797</v>
      </c>
      <c r="D38" s="128">
        <v>31776860.609999999</v>
      </c>
      <c r="E38" s="95">
        <f>VLOOKUP(A38,'Balancete 2014'!A:D,4,0)</f>
        <v>59850844.119999997</v>
      </c>
      <c r="H38" s="95">
        <v>32596312.260000002</v>
      </c>
      <c r="I38" s="99">
        <f t="shared" si="0"/>
        <v>-28073983.509999998</v>
      </c>
    </row>
    <row r="39" spans="1:11">
      <c r="A39" s="156" t="s">
        <v>19</v>
      </c>
      <c r="B39" s="119">
        <v>0</v>
      </c>
      <c r="C39" s="128" t="s">
        <v>798</v>
      </c>
      <c r="D39" s="128">
        <v>83513.98</v>
      </c>
      <c r="E39" s="95">
        <f>VLOOKUP(A39,'Balancete 2014'!A:D,4,0)</f>
        <v>133437349.02</v>
      </c>
      <c r="H39" s="95">
        <v>128268373.81999999</v>
      </c>
      <c r="I39" s="99">
        <f t="shared" si="0"/>
        <v>-133353835.03999999</v>
      </c>
      <c r="J39" s="100">
        <f>+D39-E39</f>
        <v>-133353835.03999999</v>
      </c>
      <c r="K39" s="95">
        <f>+J39/1000</f>
        <v>-133353.83504000001</v>
      </c>
    </row>
    <row r="40" spans="1:11">
      <c r="A40" s="156" t="s">
        <v>320</v>
      </c>
      <c r="B40" s="119">
        <v>0</v>
      </c>
      <c r="C40" s="128" t="s">
        <v>20</v>
      </c>
      <c r="D40" s="128">
        <v>3518106.32</v>
      </c>
      <c r="E40" s="95">
        <f>VLOOKUP(A40,'Balancete 2014'!A:D,4,0)</f>
        <v>80295.75</v>
      </c>
      <c r="H40" s="95">
        <v>1554115.63</v>
      </c>
      <c r="I40" s="99">
        <f t="shared" si="0"/>
        <v>3437810.57</v>
      </c>
    </row>
    <row r="41" spans="1:11">
      <c r="A41" s="156" t="s">
        <v>21</v>
      </c>
      <c r="B41" s="119">
        <v>0</v>
      </c>
      <c r="C41" s="128" t="s">
        <v>22</v>
      </c>
      <c r="D41" s="128">
        <v>55410.84</v>
      </c>
      <c r="E41" s="95">
        <f>VLOOKUP(A41,'Balancete 2014'!A:D,4,0)</f>
        <v>38130.57</v>
      </c>
      <c r="H41" s="95">
        <v>28358.59</v>
      </c>
      <c r="I41" s="99">
        <f t="shared" si="0"/>
        <v>17280.269999999997</v>
      </c>
    </row>
    <row r="42" spans="1:11">
      <c r="A42" s="156" t="s">
        <v>23</v>
      </c>
      <c r="B42" s="119">
        <v>-4</v>
      </c>
      <c r="C42" s="128" t="s">
        <v>968</v>
      </c>
      <c r="D42" s="128">
        <v>55410.84</v>
      </c>
      <c r="E42" s="95">
        <f>VLOOKUP(A42,'Balancete 2014'!A:D,4,0)</f>
        <v>38130.57</v>
      </c>
      <c r="H42" s="95">
        <v>28358.59</v>
      </c>
      <c r="I42" s="99">
        <f t="shared" si="0"/>
        <v>17280.269999999997</v>
      </c>
    </row>
    <row r="43" spans="1:11">
      <c r="A43" s="156" t="s">
        <v>24</v>
      </c>
      <c r="B43" s="119">
        <v>-2</v>
      </c>
      <c r="C43" s="128" t="s">
        <v>799</v>
      </c>
      <c r="D43" s="128">
        <v>40743.26</v>
      </c>
      <c r="E43" s="95">
        <f>VLOOKUP(A43,'Balancete 2014'!A:D,4,0)</f>
        <v>28037.18</v>
      </c>
      <c r="H43" s="95">
        <v>20851.900000000001</v>
      </c>
      <c r="I43" s="99">
        <f t="shared" si="0"/>
        <v>12706.080000000002</v>
      </c>
    </row>
    <row r="44" spans="1:11">
      <c r="A44" s="156" t="s">
        <v>25</v>
      </c>
      <c r="B44" s="119">
        <v>0</v>
      </c>
      <c r="C44" s="128" t="s">
        <v>800</v>
      </c>
      <c r="D44" s="128">
        <v>14667.58</v>
      </c>
      <c r="E44" s="95">
        <f>VLOOKUP(A44,'Balancete 2014'!A:D,4,0)</f>
        <v>10093.39</v>
      </c>
      <c r="H44" s="95">
        <v>7506.69</v>
      </c>
      <c r="I44" s="99">
        <f t="shared" si="0"/>
        <v>4574.1900000000005</v>
      </c>
    </row>
    <row r="45" spans="1:11">
      <c r="A45" s="156" t="s">
        <v>26</v>
      </c>
      <c r="B45" s="119">
        <v>-8</v>
      </c>
      <c r="C45" s="128" t="s">
        <v>27</v>
      </c>
      <c r="D45" s="128">
        <v>53544.480000000003</v>
      </c>
      <c r="H45" s="95">
        <v>1454836.59</v>
      </c>
      <c r="I45" s="99">
        <f t="shared" si="0"/>
        <v>53544.480000000003</v>
      </c>
    </row>
    <row r="46" spans="1:11">
      <c r="A46" s="156" t="s">
        <v>675</v>
      </c>
      <c r="B46" s="119">
        <v>-5</v>
      </c>
      <c r="C46" s="128" t="s">
        <v>741</v>
      </c>
      <c r="D46" s="128">
        <v>53544.480000000003</v>
      </c>
      <c r="H46" s="95">
        <v>1454836.59</v>
      </c>
      <c r="I46" s="99">
        <f t="shared" si="0"/>
        <v>53544.480000000003</v>
      </c>
    </row>
    <row r="47" spans="1:11">
      <c r="A47" s="156" t="s">
        <v>676</v>
      </c>
      <c r="B47" s="119">
        <v>-3</v>
      </c>
      <c r="C47" s="119" t="s">
        <v>881</v>
      </c>
      <c r="D47" s="128">
        <v>53544.480000000003</v>
      </c>
      <c r="H47" s="95">
        <v>1454836.59</v>
      </c>
      <c r="I47" s="99">
        <f t="shared" si="0"/>
        <v>53544.480000000003</v>
      </c>
    </row>
    <row r="48" spans="1:11">
      <c r="A48" s="156" t="s">
        <v>882</v>
      </c>
      <c r="B48" s="119">
        <v>-2</v>
      </c>
      <c r="C48" s="119" t="s">
        <v>883</v>
      </c>
      <c r="D48" s="128">
        <v>3401410.97</v>
      </c>
      <c r="H48" s="95" t="e">
        <v>#N/A</v>
      </c>
      <c r="I48" s="99">
        <f t="shared" si="0"/>
        <v>3401410.97</v>
      </c>
    </row>
    <row r="49" spans="1:9">
      <c r="A49" s="156" t="s">
        <v>884</v>
      </c>
      <c r="B49" s="119">
        <v>-8</v>
      </c>
      <c r="C49" s="128" t="s">
        <v>885</v>
      </c>
      <c r="D49" s="128">
        <v>3401410.97</v>
      </c>
      <c r="H49" s="95" t="e">
        <v>#N/A</v>
      </c>
      <c r="I49" s="99">
        <f t="shared" si="0"/>
        <v>3401410.97</v>
      </c>
    </row>
    <row r="50" spans="1:9">
      <c r="A50" s="156" t="s">
        <v>886</v>
      </c>
      <c r="B50" s="119">
        <v>-2</v>
      </c>
      <c r="C50" s="128" t="s">
        <v>887</v>
      </c>
      <c r="D50" s="128">
        <v>3401410.97</v>
      </c>
      <c r="H50" s="95" t="e">
        <v>#N/A</v>
      </c>
      <c r="I50" s="99">
        <f t="shared" si="0"/>
        <v>3401410.97</v>
      </c>
    </row>
    <row r="51" spans="1:9">
      <c r="A51" s="156" t="s">
        <v>302</v>
      </c>
      <c r="B51" s="119">
        <v>-2</v>
      </c>
      <c r="C51" s="128" t="s">
        <v>303</v>
      </c>
      <c r="D51" s="128">
        <v>7740.03</v>
      </c>
      <c r="E51" s="95">
        <f>VLOOKUP(A51,'Balancete 2014'!A:D,4,0)</f>
        <v>42165.18</v>
      </c>
      <c r="H51" s="95">
        <v>70920.45</v>
      </c>
      <c r="I51" s="99">
        <f t="shared" si="0"/>
        <v>-34425.15</v>
      </c>
    </row>
    <row r="52" spans="1:9">
      <c r="A52" s="156" t="s">
        <v>304</v>
      </c>
      <c r="B52" s="119">
        <v>-7</v>
      </c>
      <c r="C52" s="119" t="s">
        <v>303</v>
      </c>
      <c r="D52" s="128">
        <v>7740.03</v>
      </c>
      <c r="E52" s="95">
        <f>VLOOKUP(A52,'Balancete 2014'!A:D,4,0)</f>
        <v>42165.18</v>
      </c>
      <c r="H52" s="95">
        <v>70920.45</v>
      </c>
      <c r="I52" s="99">
        <f t="shared" si="0"/>
        <v>-34425.15</v>
      </c>
    </row>
    <row r="53" spans="1:9">
      <c r="A53" s="156" t="s">
        <v>305</v>
      </c>
      <c r="B53" s="119">
        <v>-4</v>
      </c>
      <c r="C53" s="119" t="s">
        <v>888</v>
      </c>
      <c r="D53" s="128">
        <v>7740.03</v>
      </c>
      <c r="E53" s="95">
        <f>VLOOKUP(A53,'Balancete 2014'!A:D,4,0)</f>
        <v>42165.18</v>
      </c>
      <c r="H53" s="95">
        <v>70920.45</v>
      </c>
      <c r="I53" s="99">
        <f t="shared" si="0"/>
        <v>-34425.15</v>
      </c>
    </row>
    <row r="54" spans="1:9">
      <c r="A54" s="156">
        <v>2</v>
      </c>
      <c r="B54" s="119">
        <v>-3</v>
      </c>
      <c r="C54" s="128" t="s">
        <v>621</v>
      </c>
      <c r="D54" s="128">
        <v>2138207148.71</v>
      </c>
      <c r="E54" s="95">
        <f>VLOOKUP(A54,'Balancete 2014'!A:D,4,0)</f>
        <v>4542095578.6999998</v>
      </c>
      <c r="H54" s="95">
        <v>3536067198.8800001</v>
      </c>
      <c r="I54" s="99">
        <f t="shared" si="0"/>
        <v>-2403888429.9899998</v>
      </c>
    </row>
    <row r="55" spans="1:9">
      <c r="A55" s="156" t="s">
        <v>321</v>
      </c>
      <c r="B55" s="119">
        <v>0</v>
      </c>
      <c r="C55" s="128" t="s">
        <v>28</v>
      </c>
      <c r="D55" s="128">
        <v>2138207148.71</v>
      </c>
      <c r="E55" s="95">
        <f>VLOOKUP(A55,'Balancete 2014'!A:D,4,0)</f>
        <v>4542095503.6999998</v>
      </c>
      <c r="H55" s="95">
        <v>3536066823.8800001</v>
      </c>
      <c r="I55" s="99">
        <f t="shared" si="0"/>
        <v>-2403888354.9899998</v>
      </c>
    </row>
    <row r="56" spans="1:9">
      <c r="A56" s="156" t="s">
        <v>29</v>
      </c>
      <c r="B56" s="119">
        <v>-7</v>
      </c>
      <c r="C56" s="128" t="s">
        <v>30</v>
      </c>
      <c r="D56" s="128">
        <v>2138207148.71</v>
      </c>
      <c r="E56" s="95">
        <f>VLOOKUP(A56,'Balancete 2014'!A:D,4,0)</f>
        <v>4542095503.6999998</v>
      </c>
      <c r="H56" s="95">
        <v>3536066823.8800001</v>
      </c>
      <c r="I56" s="99">
        <f t="shared" si="0"/>
        <v>-2403888354.9899998</v>
      </c>
    </row>
    <row r="57" spans="1:9">
      <c r="A57" s="156" t="s">
        <v>31</v>
      </c>
      <c r="B57" s="119">
        <v>0</v>
      </c>
      <c r="C57" s="129" t="s">
        <v>32</v>
      </c>
      <c r="D57" s="130">
        <v>2138207148.71</v>
      </c>
      <c r="E57" s="95">
        <f>VLOOKUP(A57,'Balancete 2014'!A:D,4,0)</f>
        <v>4542095503.6999998</v>
      </c>
      <c r="H57" s="95">
        <v>3536066823.8800001</v>
      </c>
      <c r="I57" s="99">
        <f t="shared" si="0"/>
        <v>-2403888354.9899998</v>
      </c>
    </row>
    <row r="58" spans="1:9">
      <c r="A58" s="156" t="s">
        <v>268</v>
      </c>
      <c r="B58" s="119">
        <v>-2</v>
      </c>
      <c r="C58" s="128" t="s">
        <v>398</v>
      </c>
      <c r="D58" s="128">
        <v>1528663343.77</v>
      </c>
      <c r="E58" s="95">
        <f>VLOOKUP(A58,'Balancete 2014'!A:D,4,0)</f>
        <v>1469201224.8</v>
      </c>
      <c r="H58" s="95">
        <v>828499930</v>
      </c>
      <c r="I58" s="99">
        <f t="shared" si="0"/>
        <v>59462118.970000029</v>
      </c>
    </row>
    <row r="59" spans="1:9">
      <c r="A59" s="156" t="s">
        <v>269</v>
      </c>
      <c r="B59" s="119">
        <v>0</v>
      </c>
      <c r="C59" s="128" t="s">
        <v>589</v>
      </c>
      <c r="D59" s="128">
        <v>1529615982.96</v>
      </c>
      <c r="E59" s="95">
        <f>VLOOKUP(A59,'Balancete 2014'!A:D,4,0)</f>
        <v>1470153863.99</v>
      </c>
      <c r="H59" s="95">
        <v>828499930</v>
      </c>
      <c r="I59" s="99">
        <f t="shared" si="0"/>
        <v>59462118.970000029</v>
      </c>
    </row>
    <row r="60" spans="1:9">
      <c r="A60" s="156" t="s">
        <v>653</v>
      </c>
      <c r="B60" s="119">
        <v>-9</v>
      </c>
      <c r="C60" s="119" t="s">
        <v>654</v>
      </c>
      <c r="D60" s="128">
        <v>-952639.19</v>
      </c>
      <c r="E60" s="95">
        <f>VLOOKUP(A60,'Balancete 2014'!A:D,4,0)</f>
        <v>-952639.19</v>
      </c>
      <c r="H60" s="95" t="e">
        <v>#N/A</v>
      </c>
      <c r="I60" s="99">
        <f t="shared" si="0"/>
        <v>0</v>
      </c>
    </row>
    <row r="61" spans="1:9">
      <c r="A61" s="156" t="s">
        <v>270</v>
      </c>
      <c r="B61" s="119">
        <v>-9</v>
      </c>
      <c r="C61" s="128" t="s">
        <v>399</v>
      </c>
      <c r="D61" s="128">
        <v>176358000</v>
      </c>
      <c r="E61" s="95">
        <f>VLOOKUP(A61,'Balancete 2014'!A:D,4,0)</f>
        <v>176358000</v>
      </c>
      <c r="H61" s="95">
        <v>176358000</v>
      </c>
      <c r="I61" s="99">
        <f t="shared" si="0"/>
        <v>0</v>
      </c>
    </row>
    <row r="62" spans="1:9">
      <c r="A62" s="156" t="s">
        <v>271</v>
      </c>
      <c r="B62" s="119">
        <v>-7</v>
      </c>
      <c r="C62" s="128" t="s">
        <v>400</v>
      </c>
      <c r="D62" s="128">
        <v>176358000</v>
      </c>
      <c r="E62" s="95">
        <f>VLOOKUP(A62,'Balancete 2014'!A:D,4,0)</f>
        <v>176358000</v>
      </c>
      <c r="H62" s="95">
        <v>176358000</v>
      </c>
      <c r="I62" s="99">
        <f t="shared" si="0"/>
        <v>0</v>
      </c>
    </row>
    <row r="63" spans="1:9">
      <c r="A63" s="156" t="s">
        <v>272</v>
      </c>
      <c r="B63" s="119">
        <v>-1</v>
      </c>
      <c r="C63" s="128" t="s">
        <v>401</v>
      </c>
      <c r="D63" s="128">
        <v>32965137.940000001</v>
      </c>
      <c r="E63" s="95">
        <f>VLOOKUP(A63,'Balancete 2014'!A:D,4,0)</f>
        <v>35837622.100000001</v>
      </c>
      <c r="H63" s="95">
        <v>38927396.259999998</v>
      </c>
      <c r="I63" s="99">
        <f t="shared" si="0"/>
        <v>-2872484.16</v>
      </c>
    </row>
    <row r="64" spans="1:9">
      <c r="A64" s="156" t="s">
        <v>273</v>
      </c>
      <c r="B64" s="119">
        <v>0</v>
      </c>
      <c r="C64" s="119" t="s">
        <v>402</v>
      </c>
      <c r="D64" s="128">
        <v>162276000</v>
      </c>
      <c r="E64" s="95">
        <f>VLOOKUP(A64,'Balancete 2014'!A:D,4,0)</f>
        <v>162276000</v>
      </c>
      <c r="H64" s="95">
        <v>162276000</v>
      </c>
      <c r="I64" s="99">
        <f t="shared" si="0"/>
        <v>0</v>
      </c>
    </row>
    <row r="65" spans="1:9">
      <c r="A65" s="156" t="s">
        <v>274</v>
      </c>
      <c r="B65" s="119">
        <v>-8</v>
      </c>
      <c r="C65" s="128" t="s">
        <v>403</v>
      </c>
      <c r="D65" s="128">
        <v>-129310862.06</v>
      </c>
      <c r="E65" s="95">
        <f>VLOOKUP(A65,'Balancete 2014'!A:D,4,0)</f>
        <v>-126438377.90000001</v>
      </c>
      <c r="G65" s="101"/>
      <c r="H65" s="95">
        <v>-123348603.73999999</v>
      </c>
      <c r="I65" s="99">
        <f t="shared" si="0"/>
        <v>-2872484.1599999964</v>
      </c>
    </row>
    <row r="66" spans="1:9">
      <c r="A66" s="156" t="s">
        <v>275</v>
      </c>
      <c r="B66" s="119">
        <v>-8</v>
      </c>
      <c r="C66" s="128" t="s">
        <v>276</v>
      </c>
      <c r="D66" s="128">
        <v>132998508.81999999</v>
      </c>
      <c r="E66" s="95">
        <f>VLOOKUP(A66,'Balancete 2014'!A:D,4,0)</f>
        <v>2638564418.52</v>
      </c>
      <c r="G66" s="94"/>
      <c r="H66" s="95">
        <v>2251138247.6199999</v>
      </c>
      <c r="I66" s="99">
        <f t="shared" si="0"/>
        <v>-2505565909.6999998</v>
      </c>
    </row>
    <row r="67" spans="1:9">
      <c r="A67" s="156" t="s">
        <v>278</v>
      </c>
      <c r="B67" s="119">
        <v>-4</v>
      </c>
      <c r="C67" s="128" t="s">
        <v>404</v>
      </c>
      <c r="D67" s="128">
        <v>18541523.02</v>
      </c>
      <c r="E67" s="95">
        <f>VLOOKUP(A67,'Balancete 2014'!A:D,4,0)</f>
        <v>14930652.029999999</v>
      </c>
      <c r="G67" s="101"/>
      <c r="H67" s="95">
        <v>13318390.84</v>
      </c>
      <c r="I67" s="99">
        <f t="shared" si="0"/>
        <v>3610870.99</v>
      </c>
    </row>
    <row r="68" spans="1:9">
      <c r="A68" s="156" t="s">
        <v>279</v>
      </c>
      <c r="B68" s="119">
        <v>-2</v>
      </c>
      <c r="C68" s="119" t="s">
        <v>405</v>
      </c>
      <c r="D68" s="128">
        <v>6955910.9500000002</v>
      </c>
      <c r="E68" s="95">
        <f>VLOOKUP(A68,'Balancete 2014'!A:D,4,0)</f>
        <v>6880514.5099999998</v>
      </c>
      <c r="H68" s="95">
        <v>6832155.2699999996</v>
      </c>
      <c r="I68" s="99">
        <f t="shared" si="0"/>
        <v>75396.44000000041</v>
      </c>
    </row>
    <row r="69" spans="1:9">
      <c r="A69" s="156" t="s">
        <v>406</v>
      </c>
      <c r="B69" s="119">
        <v>0</v>
      </c>
      <c r="C69" s="128" t="s">
        <v>407</v>
      </c>
      <c r="D69" s="128">
        <v>38292277.310000002</v>
      </c>
      <c r="E69" s="95">
        <f>VLOOKUP(A69,'Balancete 2014'!A:D,4,0)</f>
        <v>37063734.409999996</v>
      </c>
      <c r="H69" s="95" t="e">
        <v>#N/A</v>
      </c>
      <c r="I69" s="99">
        <f t="shared" si="0"/>
        <v>1228542.900000006</v>
      </c>
    </row>
    <row r="70" spans="1:9">
      <c r="A70" s="156" t="s">
        <v>280</v>
      </c>
      <c r="B70" s="119">
        <v>0</v>
      </c>
      <c r="C70" s="128" t="s">
        <v>408</v>
      </c>
      <c r="D70" s="128">
        <v>1840749.35</v>
      </c>
      <c r="E70" s="95">
        <f>VLOOKUP(A70,'Balancete 2014'!A:D,4,0)</f>
        <v>1840770.2</v>
      </c>
      <c r="H70" s="95">
        <v>1896916.47</v>
      </c>
      <c r="I70" s="99">
        <f t="shared" si="0"/>
        <v>-20.849999999860302</v>
      </c>
    </row>
    <row r="71" spans="1:9">
      <c r="A71" s="156" t="s">
        <v>281</v>
      </c>
      <c r="B71" s="119">
        <v>-9</v>
      </c>
      <c r="C71" s="119" t="s">
        <v>409</v>
      </c>
      <c r="D71" s="119">
        <v>2.5</v>
      </c>
      <c r="E71" s="95">
        <f>VLOOKUP(A71,'Balancete 2014'!A:D,4,0)</f>
        <v>2.5</v>
      </c>
      <c r="H71" s="95">
        <v>2.5</v>
      </c>
      <c r="I71" s="99">
        <f t="shared" si="0"/>
        <v>0</v>
      </c>
    </row>
    <row r="72" spans="1:9">
      <c r="A72" s="156" t="s">
        <v>282</v>
      </c>
      <c r="B72" s="119">
        <v>-7</v>
      </c>
      <c r="C72" s="128" t="s">
        <v>410</v>
      </c>
      <c r="D72" s="128">
        <v>32427856.469999999</v>
      </c>
      <c r="E72" s="95">
        <f>VLOOKUP(A72,'Balancete 2014'!A:D,4,0)</f>
        <v>32708898.859999999</v>
      </c>
      <c r="H72" s="95">
        <v>38962644.07</v>
      </c>
      <c r="I72" s="99">
        <f t="shared" si="0"/>
        <v>-281042.3900000006</v>
      </c>
    </row>
    <row r="73" spans="1:9">
      <c r="A73" s="156" t="s">
        <v>284</v>
      </c>
      <c r="B73" s="119">
        <v>-1</v>
      </c>
      <c r="C73" s="128" t="s">
        <v>412</v>
      </c>
      <c r="D73" s="128">
        <v>30392935.879999999</v>
      </c>
      <c r="E73" s="95">
        <f>VLOOKUP(A73,'Balancete 2014'!A:D,4,0)</f>
        <v>61471779.280000001</v>
      </c>
      <c r="H73" s="95">
        <v>64118119.740000002</v>
      </c>
      <c r="I73" s="99">
        <f t="shared" si="0"/>
        <v>-31078843.400000002</v>
      </c>
    </row>
    <row r="74" spans="1:9">
      <c r="A74" s="156" t="s">
        <v>413</v>
      </c>
      <c r="B74" s="119">
        <v>0</v>
      </c>
      <c r="C74" s="128" t="s">
        <v>622</v>
      </c>
      <c r="D74" s="128">
        <v>1010953.34</v>
      </c>
      <c r="E74" s="95">
        <f>VLOOKUP(A74,'Balancete 2014'!A:D,4,0)</f>
        <v>1010953.34</v>
      </c>
      <c r="H74" s="95" t="e">
        <v>#N/A</v>
      </c>
      <c r="I74" s="99">
        <f t="shared" si="0"/>
        <v>0</v>
      </c>
    </row>
    <row r="75" spans="1:9">
      <c r="A75" s="156" t="s">
        <v>690</v>
      </c>
      <c r="B75" s="119">
        <v>0</v>
      </c>
      <c r="C75" s="128" t="s">
        <v>889</v>
      </c>
      <c r="D75" s="128">
        <v>3536300</v>
      </c>
      <c r="E75" s="95" t="e">
        <f>VLOOKUP(A75,'Balancete 2014'!A:D,4,0)</f>
        <v>#N/A</v>
      </c>
      <c r="H75" s="95" t="e">
        <v>#N/A</v>
      </c>
      <c r="I75" s="99" t="e">
        <f t="shared" si="0"/>
        <v>#N/A</v>
      </c>
    </row>
    <row r="76" spans="1:9">
      <c r="A76" s="156" t="s">
        <v>285</v>
      </c>
      <c r="B76" s="119">
        <v>-4</v>
      </c>
      <c r="C76" s="119" t="s">
        <v>415</v>
      </c>
      <c r="D76" s="128">
        <v>79281286</v>
      </c>
      <c r="E76" s="95">
        <f>VLOOKUP(A76,'Balancete 2014'!A:D,4,0)</f>
        <v>79314858.280000001</v>
      </c>
      <c r="H76" s="95">
        <v>79281286</v>
      </c>
      <c r="I76" s="99">
        <f t="shared" si="0"/>
        <v>-33572.280000001192</v>
      </c>
    </row>
    <row r="77" spans="1:9">
      <c r="A77" s="156" t="s">
        <v>286</v>
      </c>
      <c r="B77" s="119">
        <v>-2</v>
      </c>
      <c r="C77" s="119" t="s">
        <v>416</v>
      </c>
      <c r="D77" s="128">
        <v>79281286</v>
      </c>
      <c r="E77" s="95">
        <f>VLOOKUP(A77,'Balancete 2014'!A:D,4,0)</f>
        <v>79281286</v>
      </c>
      <c r="H77" s="95">
        <v>79281286</v>
      </c>
      <c r="I77" s="99">
        <f t="shared" si="0"/>
        <v>0</v>
      </c>
    </row>
    <row r="78" spans="1:9">
      <c r="A78" s="156" t="s">
        <v>287</v>
      </c>
      <c r="B78" s="119">
        <v>-7</v>
      </c>
      <c r="C78" s="128" t="s">
        <v>890</v>
      </c>
      <c r="D78" s="128">
        <v>123776796</v>
      </c>
      <c r="E78" s="95">
        <f>VLOOKUP(A78,'Balancete 2014'!A:D,4,0)</f>
        <v>142819380</v>
      </c>
      <c r="H78" s="95">
        <v>161861964</v>
      </c>
      <c r="I78" s="99">
        <f t="shared" si="0"/>
        <v>-19042584</v>
      </c>
    </row>
    <row r="79" spans="1:9">
      <c r="A79" s="156" t="s">
        <v>288</v>
      </c>
      <c r="B79" s="119">
        <v>-5</v>
      </c>
      <c r="C79" s="128" t="s">
        <v>418</v>
      </c>
      <c r="D79" s="128">
        <v>190425840</v>
      </c>
      <c r="E79" s="95">
        <f>VLOOKUP(A79,'Balancete 2014'!A:D,4,0)</f>
        <v>190425840</v>
      </c>
      <c r="H79" s="95">
        <v>190425840</v>
      </c>
      <c r="I79" s="99">
        <f t="shared" si="0"/>
        <v>0</v>
      </c>
    </row>
    <row r="80" spans="1:9">
      <c r="A80" s="156" t="s">
        <v>289</v>
      </c>
      <c r="B80" s="119">
        <v>-3</v>
      </c>
      <c r="C80" s="128" t="s">
        <v>419</v>
      </c>
      <c r="D80" s="128">
        <v>-66649044</v>
      </c>
      <c r="E80" s="95">
        <f>VLOOKUP(A80,'Balancete 2014'!A:D,4,0)</f>
        <v>-47606460</v>
      </c>
      <c r="H80" s="95">
        <v>-28563876</v>
      </c>
      <c r="I80" s="99">
        <f t="shared" si="0"/>
        <v>-19042584</v>
      </c>
    </row>
    <row r="81" spans="1:9">
      <c r="A81" s="156" t="s">
        <v>749</v>
      </c>
      <c r="B81" s="119">
        <v>0</v>
      </c>
      <c r="C81" s="128" t="s">
        <v>891</v>
      </c>
      <c r="D81" s="128">
        <v>64164076.18</v>
      </c>
      <c r="E81" s="95" t="e">
        <f>VLOOKUP(A81,'Balancete 2014'!A:D,4,0)</f>
        <v>#N/A</v>
      </c>
      <c r="H81" s="95" t="e">
        <v>#N/A</v>
      </c>
      <c r="I81" s="99" t="e">
        <f t="shared" si="0"/>
        <v>#N/A</v>
      </c>
    </row>
    <row r="82" spans="1:9">
      <c r="A82" s="156" t="s">
        <v>751</v>
      </c>
      <c r="B82" s="119">
        <v>-8</v>
      </c>
      <c r="C82" s="128" t="s">
        <v>693</v>
      </c>
      <c r="D82" s="128">
        <v>66011000</v>
      </c>
      <c r="E82" s="95" t="e">
        <f>VLOOKUP(A82,'Balancete 2014'!A:D,4,0)</f>
        <v>#N/A</v>
      </c>
      <c r="H82" s="95" t="e">
        <v>#N/A</v>
      </c>
      <c r="I82" s="99" t="e">
        <f t="shared" si="0"/>
        <v>#N/A</v>
      </c>
    </row>
    <row r="83" spans="1:9">
      <c r="A83" s="156" t="s">
        <v>753</v>
      </c>
      <c r="B83" s="119">
        <v>-6</v>
      </c>
      <c r="C83" s="128" t="s">
        <v>746</v>
      </c>
      <c r="D83" s="128">
        <v>-1846923.82</v>
      </c>
      <c r="E83" s="95" t="e">
        <f>VLOOKUP(A83,'Balancete 2014'!A:D,4,0)</f>
        <v>#N/A</v>
      </c>
      <c r="H83" s="95" t="e">
        <v>#N/A</v>
      </c>
      <c r="I83" s="99" t="e">
        <f t="shared" ref="I83:I146" si="1">+D83-E83</f>
        <v>#N/A</v>
      </c>
    </row>
    <row r="84" spans="1:9">
      <c r="A84" s="156" t="s">
        <v>322</v>
      </c>
      <c r="B84" s="119">
        <v>-8</v>
      </c>
      <c r="C84" s="128" t="s">
        <v>33</v>
      </c>
      <c r="D84" s="128">
        <v>0</v>
      </c>
      <c r="E84" s="95">
        <f>VLOOKUP(A84,'Balancete 2014'!A:D,4,0)</f>
        <v>75</v>
      </c>
      <c r="H84" s="95">
        <v>375</v>
      </c>
      <c r="I84" s="99">
        <f t="shared" si="1"/>
        <v>-75</v>
      </c>
    </row>
    <row r="85" spans="1:9">
      <c r="A85" s="156" t="s">
        <v>34</v>
      </c>
      <c r="B85" s="119">
        <v>0</v>
      </c>
      <c r="C85" s="128" t="s">
        <v>35</v>
      </c>
      <c r="D85" s="128">
        <v>0</v>
      </c>
      <c r="E85" s="95">
        <f>VLOOKUP(A85,'Balancete 2014'!A:D,4,0)</f>
        <v>75</v>
      </c>
      <c r="H85" s="95">
        <v>-1125</v>
      </c>
      <c r="I85" s="99">
        <f t="shared" si="1"/>
        <v>-75</v>
      </c>
    </row>
    <row r="86" spans="1:9">
      <c r="A86" s="156" t="s">
        <v>420</v>
      </c>
      <c r="B86" s="119">
        <v>-8</v>
      </c>
      <c r="C86" s="128" t="s">
        <v>421</v>
      </c>
      <c r="D86" s="128">
        <v>1500</v>
      </c>
      <c r="E86" s="95">
        <f>VLOOKUP(A86,'Balancete 2014'!A:D,4,0)</f>
        <v>1500</v>
      </c>
      <c r="H86" s="95" t="e">
        <v>#N/A</v>
      </c>
      <c r="I86" s="99">
        <f t="shared" si="1"/>
        <v>0</v>
      </c>
    </row>
    <row r="87" spans="1:9">
      <c r="A87" s="156" t="s">
        <v>422</v>
      </c>
      <c r="B87" s="119">
        <v>0</v>
      </c>
      <c r="C87" s="128" t="s">
        <v>423</v>
      </c>
      <c r="D87" s="128">
        <v>1500</v>
      </c>
      <c r="E87" s="95">
        <f>VLOOKUP(A87,'Balancete 2014'!A:D,4,0)</f>
        <v>1500</v>
      </c>
      <c r="H87" s="95" t="e">
        <v>#N/A</v>
      </c>
      <c r="I87" s="99">
        <f t="shared" si="1"/>
        <v>0</v>
      </c>
    </row>
    <row r="88" spans="1:9">
      <c r="A88" s="156" t="s">
        <v>424</v>
      </c>
      <c r="B88" s="119">
        <v>-9</v>
      </c>
      <c r="C88" s="128" t="s">
        <v>892</v>
      </c>
      <c r="D88" s="128">
        <v>1500</v>
      </c>
      <c r="E88" s="95">
        <f>VLOOKUP(A88,'Balancete 2014'!A:D,4,0)</f>
        <v>1500</v>
      </c>
      <c r="H88" s="95" t="e">
        <v>#N/A</v>
      </c>
      <c r="I88" s="99">
        <f t="shared" si="1"/>
        <v>0</v>
      </c>
    </row>
    <row r="89" spans="1:9">
      <c r="A89" s="156" t="s">
        <v>36</v>
      </c>
      <c r="B89" s="119">
        <v>-4</v>
      </c>
      <c r="C89" s="128" t="s">
        <v>37</v>
      </c>
      <c r="D89" s="128">
        <v>-1500</v>
      </c>
      <c r="E89" s="95">
        <f>VLOOKUP(A89,'Balancete 2014'!A:D,4,0)</f>
        <v>-1425</v>
      </c>
      <c r="H89" s="95">
        <v>-1125</v>
      </c>
      <c r="I89" s="99">
        <f t="shared" si="1"/>
        <v>-75</v>
      </c>
    </row>
    <row r="90" spans="1:9">
      <c r="A90" s="156" t="s">
        <v>38</v>
      </c>
      <c r="B90" s="119">
        <v>0</v>
      </c>
      <c r="C90" s="128" t="s">
        <v>425</v>
      </c>
      <c r="D90" s="128">
        <v>-1500</v>
      </c>
      <c r="E90" s="95">
        <f>VLOOKUP(A90,'Balancete 2014'!A:D,4,0)</f>
        <v>-1425</v>
      </c>
      <c r="H90" s="95">
        <v>-1125</v>
      </c>
      <c r="I90" s="99">
        <f t="shared" si="1"/>
        <v>-75</v>
      </c>
    </row>
    <row r="91" spans="1:9">
      <c r="A91" s="156" t="s">
        <v>39</v>
      </c>
      <c r="B91" s="119">
        <v>-4</v>
      </c>
      <c r="C91" s="128" t="s">
        <v>893</v>
      </c>
      <c r="D91" s="128">
        <v>-1500</v>
      </c>
      <c r="E91" s="95">
        <f>VLOOKUP(A91,'Balancete 2014'!A:D,4,0)</f>
        <v>-1425</v>
      </c>
      <c r="H91" s="95">
        <v>-1125</v>
      </c>
      <c r="I91" s="99">
        <f t="shared" si="1"/>
        <v>-75</v>
      </c>
    </row>
    <row r="92" spans="1:9">
      <c r="A92" s="156">
        <v>3</v>
      </c>
      <c r="B92" s="119">
        <v>0</v>
      </c>
      <c r="C92" s="128" t="s">
        <v>625</v>
      </c>
      <c r="D92" s="128">
        <v>98361900.319999993</v>
      </c>
      <c r="E92" s="95">
        <f>VLOOKUP(A92,'Balancete 2014'!A:D,4,0)</f>
        <v>74647059.890000001</v>
      </c>
      <c r="G92" s="94">
        <f>+D92-D222</f>
        <v>98343861.029999986</v>
      </c>
      <c r="H92" s="95">
        <v>50217802.609999999</v>
      </c>
      <c r="I92" s="99">
        <f t="shared" si="1"/>
        <v>23714840.429999992</v>
      </c>
    </row>
    <row r="93" spans="1:9">
      <c r="A93" s="156" t="s">
        <v>626</v>
      </c>
      <c r="B93" s="119">
        <v>0</v>
      </c>
      <c r="C93" s="128" t="s">
        <v>625</v>
      </c>
      <c r="D93" s="128">
        <v>98361900.319999993</v>
      </c>
      <c r="E93" s="95">
        <f>VLOOKUP(A93,'Balancete 2014'!A:D,4,0)</f>
        <v>74647059.890000001</v>
      </c>
      <c r="H93" s="95">
        <v>50217802.609999999</v>
      </c>
      <c r="I93" s="99">
        <f t="shared" si="1"/>
        <v>23714840.429999992</v>
      </c>
    </row>
    <row r="94" spans="1:9">
      <c r="A94" s="156" t="s">
        <v>627</v>
      </c>
      <c r="B94" s="119">
        <v>-3</v>
      </c>
      <c r="C94" s="128" t="s">
        <v>628</v>
      </c>
      <c r="D94" s="128">
        <v>98361900.319999993</v>
      </c>
      <c r="E94" s="95">
        <f>VLOOKUP(A94,'Balancete 2014'!A:D,4,0)</f>
        <v>74647059.890000001</v>
      </c>
      <c r="H94" s="95">
        <v>50217802.609999999</v>
      </c>
      <c r="I94" s="99">
        <f t="shared" si="1"/>
        <v>23714840.429999992</v>
      </c>
    </row>
    <row r="95" spans="1:9">
      <c r="A95" s="156" t="s">
        <v>629</v>
      </c>
      <c r="B95" s="119">
        <v>-7</v>
      </c>
      <c r="C95" s="128" t="s">
        <v>630</v>
      </c>
      <c r="D95" s="128">
        <v>98361900.319999993</v>
      </c>
      <c r="E95" s="95">
        <f>VLOOKUP(A95,'Balancete 2014'!A:D,4,0)</f>
        <v>74647059.890000001</v>
      </c>
      <c r="H95" s="95">
        <v>50217802.609999999</v>
      </c>
      <c r="I95" s="99">
        <f t="shared" si="1"/>
        <v>23714840.429999992</v>
      </c>
    </row>
    <row r="96" spans="1:9">
      <c r="A96" s="156" t="s">
        <v>631</v>
      </c>
      <c r="B96" s="119">
        <v>-3</v>
      </c>
      <c r="C96" s="128" t="s">
        <v>630</v>
      </c>
      <c r="D96" s="128">
        <v>98361900.319999993</v>
      </c>
      <c r="E96" s="95">
        <f>VLOOKUP(A96,'Balancete 2014'!A:D,4,0)</f>
        <v>74647059.890000001</v>
      </c>
      <c r="H96" s="95">
        <v>50217802.609999999</v>
      </c>
      <c r="I96" s="99">
        <f t="shared" si="1"/>
        <v>23714840.429999992</v>
      </c>
    </row>
    <row r="97" spans="1:9">
      <c r="A97" s="156" t="s">
        <v>632</v>
      </c>
      <c r="B97" s="119">
        <v>-8</v>
      </c>
      <c r="C97" s="128" t="s">
        <v>633</v>
      </c>
      <c r="D97" s="128">
        <v>42865000</v>
      </c>
      <c r="E97" s="95">
        <f>VLOOKUP(A97,'Balancete 2014'!A:D,4,0)</f>
        <v>35006416.810000002</v>
      </c>
      <c r="H97" s="95">
        <v>26433416.77</v>
      </c>
      <c r="I97" s="99">
        <f t="shared" si="1"/>
        <v>7858583.1899999976</v>
      </c>
    </row>
    <row r="98" spans="1:9">
      <c r="A98" s="156" t="s">
        <v>634</v>
      </c>
      <c r="B98" s="119">
        <v>-6</v>
      </c>
      <c r="C98" s="128" t="s">
        <v>635</v>
      </c>
      <c r="D98" s="128">
        <v>55496900.32</v>
      </c>
      <c r="E98" s="95">
        <f>VLOOKUP(A98,'Balancete 2014'!A:D,4,0)</f>
        <v>39640643.079999998</v>
      </c>
      <c r="H98" s="95">
        <v>23784385.84</v>
      </c>
      <c r="I98" s="99">
        <f t="shared" si="1"/>
        <v>15856257.240000002</v>
      </c>
    </row>
    <row r="99" spans="1:9">
      <c r="A99" s="156">
        <v>8</v>
      </c>
      <c r="B99" s="119">
        <v>-1</v>
      </c>
      <c r="C99" s="128" t="s">
        <v>40</v>
      </c>
      <c r="D99" s="128">
        <v>70986812.579999998</v>
      </c>
      <c r="E99" s="95">
        <f>VLOOKUP(A99,'Balancete 2014'!A:D,4,0)</f>
        <v>246432966.33000001</v>
      </c>
      <c r="H99" s="95">
        <v>236857050.52000001</v>
      </c>
      <c r="I99" s="99">
        <f t="shared" si="1"/>
        <v>-175446153.75</v>
      </c>
    </row>
    <row r="100" spans="1:9">
      <c r="A100" s="156" t="s">
        <v>41</v>
      </c>
      <c r="B100" s="119">
        <v>-9</v>
      </c>
      <c r="C100" s="128" t="s">
        <v>42</v>
      </c>
      <c r="D100" s="128">
        <v>56454960.25</v>
      </c>
      <c r="E100" s="95">
        <f>VLOOKUP(A100,'Balancete 2014'!A:D,4,0)</f>
        <v>208354145.44999999</v>
      </c>
      <c r="H100" s="95">
        <v>219982487.56</v>
      </c>
      <c r="I100" s="99">
        <f t="shared" si="1"/>
        <v>-151899185.19999999</v>
      </c>
    </row>
    <row r="101" spans="1:9">
      <c r="A101" s="156" t="s">
        <v>334</v>
      </c>
      <c r="B101" s="119">
        <v>-8</v>
      </c>
      <c r="C101" s="128" t="s">
        <v>43</v>
      </c>
      <c r="D101" s="128">
        <v>47042340.520000003</v>
      </c>
      <c r="E101" s="95">
        <f>VLOOKUP(A101,'Balancete 2014'!A:D,4,0)</f>
        <v>179937188.61000001</v>
      </c>
      <c r="H101" s="95">
        <v>204216413.84</v>
      </c>
      <c r="I101" s="99">
        <f t="shared" si="1"/>
        <v>-132894848.09</v>
      </c>
    </row>
    <row r="102" spans="1:9">
      <c r="A102" s="156" t="s">
        <v>44</v>
      </c>
      <c r="B102" s="119">
        <v>-5</v>
      </c>
      <c r="C102" s="128" t="s">
        <v>45</v>
      </c>
      <c r="D102" s="128">
        <v>47042340.520000003</v>
      </c>
      <c r="E102" s="95">
        <f>VLOOKUP(A102,'Balancete 2014'!A:D,4,0)</f>
        <v>179937188.61000001</v>
      </c>
      <c r="H102" s="95">
        <v>204216413.84</v>
      </c>
      <c r="I102" s="99">
        <f t="shared" si="1"/>
        <v>-132894848.09</v>
      </c>
    </row>
    <row r="103" spans="1:9">
      <c r="A103" s="156" t="s">
        <v>46</v>
      </c>
      <c r="B103" s="119">
        <v>0</v>
      </c>
      <c r="C103" s="128" t="s">
        <v>47</v>
      </c>
      <c r="D103" s="128">
        <v>47042340.520000003</v>
      </c>
      <c r="E103" s="95">
        <f>VLOOKUP(A103,'Balancete 2014'!A:D,4,0)</f>
        <v>179937188.61000001</v>
      </c>
      <c r="H103" s="95">
        <v>204216413.84</v>
      </c>
      <c r="I103" s="99">
        <f t="shared" si="1"/>
        <v>-132894848.09</v>
      </c>
    </row>
    <row r="104" spans="1:9">
      <c r="A104" s="156" t="s">
        <v>48</v>
      </c>
      <c r="B104" s="119">
        <v>-5</v>
      </c>
      <c r="C104" s="128" t="s">
        <v>894</v>
      </c>
      <c r="D104" s="128">
        <v>26193235.66</v>
      </c>
      <c r="E104" s="95">
        <f>VLOOKUP(A104,'Balancete 2014'!A:D,4,0)</f>
        <v>154639990.65000001</v>
      </c>
      <c r="H104" s="95">
        <v>142361972.31</v>
      </c>
      <c r="I104" s="99">
        <f t="shared" si="1"/>
        <v>-128446754.99000001</v>
      </c>
    </row>
    <row r="105" spans="1:9">
      <c r="A105" s="156" t="s">
        <v>49</v>
      </c>
      <c r="B105" s="119">
        <v>-3</v>
      </c>
      <c r="C105" s="128" t="s">
        <v>895</v>
      </c>
      <c r="D105" s="128">
        <v>11640427.859999999</v>
      </c>
      <c r="E105" s="95">
        <f>VLOOKUP(A105,'Balancete 2014'!A:D,4,0)</f>
        <v>22132358.16</v>
      </c>
      <c r="H105" s="95">
        <v>56911241.530000001</v>
      </c>
      <c r="I105" s="99">
        <f t="shared" si="1"/>
        <v>-10491930.300000001</v>
      </c>
    </row>
    <row r="106" spans="1:9">
      <c r="A106" s="156" t="s">
        <v>50</v>
      </c>
      <c r="B106" s="119">
        <v>-2</v>
      </c>
      <c r="C106" s="128" t="s">
        <v>969</v>
      </c>
      <c r="D106" s="128">
        <v>9208677</v>
      </c>
      <c r="E106" s="95">
        <f>VLOOKUP(A106,'Balancete 2014'!A:D,4,0)</f>
        <v>3164839.8</v>
      </c>
      <c r="H106" s="95">
        <v>4943200</v>
      </c>
      <c r="I106" s="99">
        <f t="shared" si="1"/>
        <v>6043837.2000000002</v>
      </c>
    </row>
    <row r="107" spans="1:9">
      <c r="A107" s="156" t="s">
        <v>51</v>
      </c>
      <c r="B107" s="119">
        <v>-6</v>
      </c>
      <c r="C107" s="128" t="s">
        <v>52</v>
      </c>
      <c r="D107" s="128">
        <v>6423807.6600000001</v>
      </c>
      <c r="E107" s="95">
        <f>VLOOKUP(A107,'Balancete 2014'!A:D,4,0)</f>
        <v>10351422.710000001</v>
      </c>
      <c r="H107" s="95">
        <v>8160087.8700000001</v>
      </c>
      <c r="I107" s="99">
        <f t="shared" si="1"/>
        <v>-3927615.0500000007</v>
      </c>
    </row>
    <row r="108" spans="1:9">
      <c r="A108" s="156" t="s">
        <v>53</v>
      </c>
      <c r="B108" s="119">
        <v>0</v>
      </c>
      <c r="C108" s="128" t="s">
        <v>54</v>
      </c>
      <c r="D108" s="128">
        <v>13201.73</v>
      </c>
      <c r="E108" s="95">
        <f>VLOOKUP(A108,'Balancete 2014'!A:D,4,0)</f>
        <v>14807.52</v>
      </c>
      <c r="H108" s="95">
        <v>14832.89</v>
      </c>
      <c r="I108" s="99">
        <f t="shared" si="1"/>
        <v>-1605.7900000000009</v>
      </c>
    </row>
    <row r="109" spans="1:9">
      <c r="A109" s="156" t="s">
        <v>55</v>
      </c>
      <c r="B109" s="119">
        <v>-1</v>
      </c>
      <c r="C109" s="128" t="s">
        <v>54</v>
      </c>
      <c r="D109" s="128">
        <v>13201.73</v>
      </c>
      <c r="E109" s="95">
        <f>VLOOKUP(A109,'Balancete 2014'!A:D,4,0)</f>
        <v>14807.52</v>
      </c>
      <c r="H109" s="95">
        <v>14832.89</v>
      </c>
      <c r="I109" s="99">
        <f t="shared" si="1"/>
        <v>-1605.7900000000009</v>
      </c>
    </row>
    <row r="110" spans="1:9">
      <c r="A110" s="156" t="s">
        <v>56</v>
      </c>
      <c r="B110" s="119">
        <v>0</v>
      </c>
      <c r="C110" s="128" t="s">
        <v>801</v>
      </c>
      <c r="D110" s="128">
        <v>13201.73</v>
      </c>
      <c r="E110" s="95">
        <f>VLOOKUP(A110,'Balancete 2014'!A:D,4,0)</f>
        <v>14807.52</v>
      </c>
      <c r="H110" s="95">
        <v>14832.89</v>
      </c>
      <c r="I110" s="99">
        <f t="shared" si="1"/>
        <v>-1605.7900000000009</v>
      </c>
    </row>
    <row r="111" spans="1:9">
      <c r="A111" s="156" t="s">
        <v>57</v>
      </c>
      <c r="B111" s="119">
        <v>-3</v>
      </c>
      <c r="C111" s="128" t="s">
        <v>58</v>
      </c>
      <c r="D111" s="128">
        <v>127840.6</v>
      </c>
      <c r="E111" s="95">
        <f>VLOOKUP(A111,'Balancete 2014'!A:D,4,0)</f>
        <v>203163.67</v>
      </c>
      <c r="H111" s="95">
        <v>178085.88</v>
      </c>
      <c r="I111" s="99">
        <f t="shared" si="1"/>
        <v>-75323.070000000007</v>
      </c>
    </row>
    <row r="112" spans="1:9">
      <c r="A112" s="156" t="s">
        <v>59</v>
      </c>
      <c r="B112" s="119">
        <v>-5</v>
      </c>
      <c r="C112" s="128" t="s">
        <v>58</v>
      </c>
      <c r="D112" s="128">
        <v>127840.6</v>
      </c>
      <c r="E112" s="95">
        <f>VLOOKUP(A112,'Balancete 2014'!A:D,4,0)</f>
        <v>203163.67</v>
      </c>
      <c r="H112" s="95">
        <v>178085.88</v>
      </c>
      <c r="I112" s="99">
        <f t="shared" si="1"/>
        <v>-75323.070000000007</v>
      </c>
    </row>
    <row r="113" spans="1:9">
      <c r="A113" s="156" t="s">
        <v>60</v>
      </c>
      <c r="B113" s="119">
        <v>-3</v>
      </c>
      <c r="C113" s="128" t="s">
        <v>58</v>
      </c>
      <c r="D113" s="128">
        <v>127840.6</v>
      </c>
      <c r="E113" s="95">
        <f>VLOOKUP(A113,'Balancete 2014'!A:D,4,0)</f>
        <v>203163.67</v>
      </c>
      <c r="H113" s="95">
        <v>178085.88</v>
      </c>
      <c r="I113" s="99">
        <f t="shared" si="1"/>
        <v>-75323.070000000007</v>
      </c>
    </row>
    <row r="114" spans="1:9">
      <c r="A114" s="156" t="s">
        <v>61</v>
      </c>
      <c r="B114" s="119">
        <v>-6</v>
      </c>
      <c r="C114" s="128" t="s">
        <v>62</v>
      </c>
      <c r="D114" s="128">
        <v>1599392.25</v>
      </c>
      <c r="E114" s="95">
        <f>VLOOKUP(A114,'Balancete 2014'!A:D,4,0)</f>
        <v>2353974.4900000002</v>
      </c>
      <c r="H114" s="95">
        <v>1764837.59</v>
      </c>
      <c r="I114" s="99">
        <f t="shared" si="1"/>
        <v>-754582.24000000022</v>
      </c>
    </row>
    <row r="115" spans="1:9">
      <c r="A115" s="156" t="s">
        <v>63</v>
      </c>
      <c r="B115" s="119">
        <v>-3</v>
      </c>
      <c r="C115" s="128" t="s">
        <v>802</v>
      </c>
      <c r="D115" s="128">
        <v>1599392.25</v>
      </c>
      <c r="E115" s="95">
        <f>VLOOKUP(A115,'Balancete 2014'!A:D,4,0)</f>
        <v>2353974.4900000002</v>
      </c>
      <c r="H115" s="95">
        <v>1764837.59</v>
      </c>
      <c r="I115" s="99">
        <f t="shared" si="1"/>
        <v>-754582.24000000022</v>
      </c>
    </row>
    <row r="116" spans="1:9">
      <c r="A116" s="156" t="s">
        <v>64</v>
      </c>
      <c r="B116" s="119">
        <v>-1</v>
      </c>
      <c r="C116" s="128" t="s">
        <v>803</v>
      </c>
      <c r="D116" s="128">
        <v>1013275.06</v>
      </c>
      <c r="E116" s="95">
        <f>VLOOKUP(A116,'Balancete 2014'!A:D,4,0)</f>
        <v>1688457.37</v>
      </c>
      <c r="H116" s="95">
        <v>1247109.55</v>
      </c>
      <c r="I116" s="99">
        <f t="shared" si="1"/>
        <v>-675182.31</v>
      </c>
    </row>
    <row r="117" spans="1:9">
      <c r="A117" s="156" t="s">
        <v>65</v>
      </c>
      <c r="B117" s="119">
        <v>0</v>
      </c>
      <c r="C117" s="128" t="s">
        <v>804</v>
      </c>
      <c r="D117" s="128">
        <v>96532.88</v>
      </c>
      <c r="E117" s="95">
        <f>VLOOKUP(A117,'Balancete 2014'!A:D,4,0)</f>
        <v>114779.71</v>
      </c>
      <c r="H117" s="95">
        <v>85225.19</v>
      </c>
      <c r="I117" s="99">
        <f t="shared" si="1"/>
        <v>-18246.830000000002</v>
      </c>
    </row>
    <row r="118" spans="1:9">
      <c r="A118" s="156" t="s">
        <v>66</v>
      </c>
      <c r="B118" s="119">
        <v>-8</v>
      </c>
      <c r="C118" s="128" t="s">
        <v>805</v>
      </c>
      <c r="D118" s="128">
        <v>290810.71999999997</v>
      </c>
      <c r="E118" s="95">
        <f>VLOOKUP(A118,'Balancete 2014'!A:D,4,0)</f>
        <v>313339.5</v>
      </c>
      <c r="H118" s="95">
        <v>248070.85</v>
      </c>
      <c r="I118" s="99">
        <f t="shared" si="1"/>
        <v>-22528.780000000028</v>
      </c>
    </row>
    <row r="119" spans="1:9">
      <c r="A119" s="156" t="s">
        <v>67</v>
      </c>
      <c r="B119" s="119">
        <v>-4</v>
      </c>
      <c r="C119" s="128" t="s">
        <v>896</v>
      </c>
      <c r="D119" s="128">
        <v>10562.97</v>
      </c>
      <c r="E119" s="95">
        <f>VLOOKUP(A119,'Balancete 2014'!A:D,4,0)</f>
        <v>143226.23000000001</v>
      </c>
      <c r="H119" s="95">
        <v>49636.160000000003</v>
      </c>
      <c r="I119" s="99">
        <f t="shared" si="1"/>
        <v>-132663.26</v>
      </c>
    </row>
    <row r="120" spans="1:9">
      <c r="A120" s="156" t="s">
        <v>68</v>
      </c>
      <c r="B120" s="119">
        <v>0</v>
      </c>
      <c r="C120" s="128" t="s">
        <v>806</v>
      </c>
      <c r="D120" s="128">
        <v>40246.76</v>
      </c>
      <c r="E120" s="95">
        <f>VLOOKUP(A120,'Balancete 2014'!A:D,4,0)</f>
        <v>34639.360000000001</v>
      </c>
      <c r="H120" s="95">
        <v>30241.439999999999</v>
      </c>
      <c r="I120" s="99">
        <f t="shared" si="1"/>
        <v>5607.4000000000015</v>
      </c>
    </row>
    <row r="121" spans="1:9">
      <c r="A121" s="156" t="s">
        <v>438</v>
      </c>
      <c r="B121" s="119">
        <v>0</v>
      </c>
      <c r="C121" s="128" t="s">
        <v>807</v>
      </c>
      <c r="D121" s="128">
        <v>76274.5</v>
      </c>
      <c r="E121" s="95" t="e">
        <f>VLOOKUP(A121,'Balancete 2014'!A:D,4,0)</f>
        <v>#N/A</v>
      </c>
      <c r="H121" s="95" t="e">
        <v>#N/A</v>
      </c>
      <c r="I121" s="99" t="e">
        <f t="shared" si="1"/>
        <v>#N/A</v>
      </c>
    </row>
    <row r="122" spans="1:9">
      <c r="A122" s="156" t="s">
        <v>440</v>
      </c>
      <c r="B122" s="119">
        <v>-9</v>
      </c>
      <c r="C122" s="128" t="s">
        <v>808</v>
      </c>
      <c r="D122" s="128">
        <v>6101.96</v>
      </c>
      <c r="E122" s="95" t="e">
        <f>VLOOKUP(A122,'Balancete 2014'!A:D,4,0)</f>
        <v>#N/A</v>
      </c>
      <c r="H122" s="95" t="e">
        <v>#N/A</v>
      </c>
      <c r="I122" s="99" t="e">
        <f t="shared" si="1"/>
        <v>#N/A</v>
      </c>
    </row>
    <row r="123" spans="1:9">
      <c r="A123" s="156" t="s">
        <v>442</v>
      </c>
      <c r="B123" s="119">
        <v>-7</v>
      </c>
      <c r="C123" s="128" t="s">
        <v>809</v>
      </c>
      <c r="D123" s="128">
        <v>15254.9</v>
      </c>
      <c r="E123" s="95" t="e">
        <f>VLOOKUP(A123,'Balancete 2014'!A:D,4,0)</f>
        <v>#N/A</v>
      </c>
      <c r="H123" s="95" t="e">
        <v>#N/A</v>
      </c>
      <c r="I123" s="99" t="e">
        <f t="shared" si="1"/>
        <v>#N/A</v>
      </c>
    </row>
    <row r="124" spans="1:9">
      <c r="A124" s="156" t="s">
        <v>444</v>
      </c>
      <c r="B124" s="119">
        <v>-5</v>
      </c>
      <c r="C124" s="128" t="s">
        <v>810</v>
      </c>
      <c r="D124" s="128">
        <v>9152.94</v>
      </c>
      <c r="E124" s="95" t="e">
        <f>VLOOKUP(A124,'Balancete 2014'!A:D,4,0)</f>
        <v>#N/A</v>
      </c>
      <c r="H124" s="95" t="e">
        <v>#N/A</v>
      </c>
      <c r="I124" s="99" t="e">
        <f t="shared" si="1"/>
        <v>#N/A</v>
      </c>
    </row>
    <row r="125" spans="1:9">
      <c r="A125" s="156" t="s">
        <v>69</v>
      </c>
      <c r="B125" s="119">
        <v>-3</v>
      </c>
      <c r="C125" s="128" t="s">
        <v>811</v>
      </c>
      <c r="D125" s="128">
        <v>34755.269999999997</v>
      </c>
      <c r="E125" s="95">
        <f>VLOOKUP(A125,'Balancete 2014'!A:D,4,0)</f>
        <v>30791.21</v>
      </c>
      <c r="H125" s="95">
        <v>74532.259999999995</v>
      </c>
      <c r="I125" s="99">
        <f t="shared" si="1"/>
        <v>3964.0599999999977</v>
      </c>
    </row>
    <row r="126" spans="1:9">
      <c r="A126" s="156" t="s">
        <v>71</v>
      </c>
      <c r="B126" s="119">
        <v>0</v>
      </c>
      <c r="C126" s="128" t="s">
        <v>812</v>
      </c>
      <c r="D126" s="128">
        <v>6424.29</v>
      </c>
      <c r="E126" s="95" t="e">
        <f>VLOOKUP(A126,'Balancete 2014'!A:D,4,0)</f>
        <v>#N/A</v>
      </c>
      <c r="H126" s="95">
        <v>7862.11</v>
      </c>
      <c r="I126" s="99" t="e">
        <f t="shared" si="1"/>
        <v>#N/A</v>
      </c>
    </row>
    <row r="127" spans="1:9">
      <c r="A127" s="156" t="s">
        <v>72</v>
      </c>
      <c r="B127" s="119">
        <v>-8</v>
      </c>
      <c r="C127" s="128" t="s">
        <v>73</v>
      </c>
      <c r="D127" s="128">
        <v>54034.62</v>
      </c>
      <c r="E127" s="95">
        <f>VLOOKUP(A127,'Balancete 2014'!A:D,4,0)</f>
        <v>71545.98</v>
      </c>
      <c r="H127" s="95">
        <v>56070.12</v>
      </c>
      <c r="I127" s="99">
        <f t="shared" si="1"/>
        <v>-17511.359999999993</v>
      </c>
    </row>
    <row r="128" spans="1:9">
      <c r="A128" s="156" t="s">
        <v>74</v>
      </c>
      <c r="B128" s="119">
        <v>0</v>
      </c>
      <c r="C128" s="128" t="s">
        <v>813</v>
      </c>
      <c r="D128" s="128">
        <v>54034.62</v>
      </c>
      <c r="E128" s="95">
        <f>VLOOKUP(A128,'Balancete 2014'!A:D,4,0)</f>
        <v>71545.98</v>
      </c>
      <c r="H128" s="95">
        <v>56070.12</v>
      </c>
      <c r="I128" s="99">
        <f t="shared" si="1"/>
        <v>-17511.359999999993</v>
      </c>
    </row>
    <row r="129" spans="1:9">
      <c r="A129" s="156" t="s">
        <v>76</v>
      </c>
      <c r="B129" s="119">
        <v>-8</v>
      </c>
      <c r="C129" s="128" t="s">
        <v>814</v>
      </c>
      <c r="D129" s="128">
        <v>54034.62</v>
      </c>
      <c r="E129" s="95">
        <f>VLOOKUP(A129,'Balancete 2014'!A:D,4,0)</f>
        <v>71545.98</v>
      </c>
      <c r="H129" s="95">
        <v>56070.12</v>
      </c>
      <c r="I129" s="99">
        <f t="shared" si="1"/>
        <v>-17511.359999999993</v>
      </c>
    </row>
    <row r="130" spans="1:9">
      <c r="A130" s="156" t="s">
        <v>77</v>
      </c>
      <c r="B130" s="119">
        <v>-5</v>
      </c>
      <c r="C130" s="128" t="s">
        <v>78</v>
      </c>
      <c r="D130" s="128">
        <v>412061.85</v>
      </c>
      <c r="E130" s="95">
        <f>VLOOKUP(A130,'Balancete 2014'!A:D,4,0)</f>
        <v>239017.62</v>
      </c>
      <c r="H130" s="95">
        <v>204821.31</v>
      </c>
      <c r="I130" s="99">
        <f t="shared" si="1"/>
        <v>173044.22999999998</v>
      </c>
    </row>
    <row r="131" spans="1:9">
      <c r="A131" s="156" t="s">
        <v>79</v>
      </c>
      <c r="B131" s="119">
        <v>-3</v>
      </c>
      <c r="C131" s="128" t="s">
        <v>78</v>
      </c>
      <c r="D131" s="128">
        <v>412061.85</v>
      </c>
      <c r="E131" s="95">
        <f>VLOOKUP(A131,'Balancete 2014'!A:D,4,0)</f>
        <v>239017.62</v>
      </c>
      <c r="H131" s="95">
        <v>204821.31</v>
      </c>
      <c r="I131" s="99">
        <f t="shared" si="1"/>
        <v>173044.22999999998</v>
      </c>
    </row>
    <row r="132" spans="1:9">
      <c r="A132" s="156" t="s">
        <v>80</v>
      </c>
      <c r="B132" s="119">
        <v>-1</v>
      </c>
      <c r="C132" s="128" t="s">
        <v>897</v>
      </c>
      <c r="D132" s="128">
        <v>10919.66</v>
      </c>
      <c r="E132" s="95">
        <f>VLOOKUP(A132,'Balancete 2014'!A:D,4,0)</f>
        <v>24681.7</v>
      </c>
      <c r="H132" s="95">
        <v>14132.23</v>
      </c>
      <c r="I132" s="99">
        <f t="shared" si="1"/>
        <v>-13762.04</v>
      </c>
    </row>
    <row r="133" spans="1:9">
      <c r="A133" s="156" t="s">
        <v>81</v>
      </c>
      <c r="B133" s="119">
        <v>-8</v>
      </c>
      <c r="C133" s="128" t="s">
        <v>815</v>
      </c>
      <c r="D133" s="128">
        <v>118252.4</v>
      </c>
      <c r="E133" s="95">
        <f>VLOOKUP(A133,'Balancete 2014'!A:D,4,0)</f>
        <v>214442.23999999999</v>
      </c>
      <c r="H133" s="95">
        <v>190689.08</v>
      </c>
      <c r="I133" s="99">
        <f t="shared" si="1"/>
        <v>-96189.84</v>
      </c>
    </row>
    <row r="134" spans="1:9">
      <c r="A134" s="156" t="s">
        <v>898</v>
      </c>
      <c r="B134" s="119">
        <v>-9</v>
      </c>
      <c r="C134" s="128" t="s">
        <v>899</v>
      </c>
      <c r="D134" s="128">
        <v>282889.78999999998</v>
      </c>
      <c r="E134" s="95" t="e">
        <f>VLOOKUP(A134,'Balancete 2014'!A:D,4,0)</f>
        <v>#N/A</v>
      </c>
      <c r="H134" s="95" t="e">
        <v>#N/A</v>
      </c>
      <c r="I134" s="99" t="e">
        <f t="shared" si="1"/>
        <v>#N/A</v>
      </c>
    </row>
    <row r="135" spans="1:9">
      <c r="A135" s="156" t="s">
        <v>82</v>
      </c>
      <c r="B135" s="119">
        <v>-7</v>
      </c>
      <c r="C135" s="128" t="s">
        <v>83</v>
      </c>
      <c r="D135" s="128">
        <v>967584.2</v>
      </c>
      <c r="E135" s="95">
        <f>VLOOKUP(A135,'Balancete 2014'!A:D,4,0)</f>
        <v>1658422.32</v>
      </c>
      <c r="H135" s="95">
        <v>1155929.23</v>
      </c>
      <c r="I135" s="99">
        <f t="shared" si="1"/>
        <v>-690838.12000000011</v>
      </c>
    </row>
    <row r="136" spans="1:9">
      <c r="A136" s="156" t="s">
        <v>84</v>
      </c>
      <c r="B136" s="119">
        <v>-5</v>
      </c>
      <c r="C136" s="128" t="s">
        <v>816</v>
      </c>
      <c r="D136" s="128">
        <v>151078.39000000001</v>
      </c>
      <c r="E136" s="95">
        <f>VLOOKUP(A136,'Balancete 2014'!A:D,4,0)</f>
        <v>302860.93</v>
      </c>
      <c r="H136" s="95">
        <v>226281.58</v>
      </c>
      <c r="I136" s="99">
        <f t="shared" si="1"/>
        <v>-151782.53999999998</v>
      </c>
    </row>
    <row r="137" spans="1:9">
      <c r="A137" s="156" t="s">
        <v>85</v>
      </c>
      <c r="B137" s="119">
        <v>-3</v>
      </c>
      <c r="C137" s="128" t="s">
        <v>817</v>
      </c>
      <c r="D137" s="128">
        <v>140270.57</v>
      </c>
      <c r="E137" s="95">
        <f>VLOOKUP(A137,'Balancete 2014'!A:D,4,0)</f>
        <v>286736.36</v>
      </c>
      <c r="H137" s="95">
        <v>211005.53</v>
      </c>
      <c r="I137" s="99">
        <f t="shared" si="1"/>
        <v>-146465.78999999998</v>
      </c>
    </row>
    <row r="138" spans="1:9">
      <c r="A138" s="156" t="s">
        <v>86</v>
      </c>
      <c r="B138" s="119">
        <v>-1</v>
      </c>
      <c r="C138" s="128" t="s">
        <v>818</v>
      </c>
      <c r="D138" s="128">
        <v>10807.82</v>
      </c>
      <c r="E138" s="95">
        <f>VLOOKUP(A138,'Balancete 2014'!A:D,4,0)</f>
        <v>16124.57</v>
      </c>
      <c r="H138" s="95">
        <v>15276.05</v>
      </c>
      <c r="I138" s="99">
        <f t="shared" si="1"/>
        <v>-5316.75</v>
      </c>
    </row>
    <row r="139" spans="1:9">
      <c r="A139" s="156" t="s">
        <v>87</v>
      </c>
      <c r="B139" s="119">
        <v>-7</v>
      </c>
      <c r="C139" s="128" t="s">
        <v>819</v>
      </c>
      <c r="D139" s="128">
        <v>503314.54</v>
      </c>
      <c r="E139" s="95">
        <f>VLOOKUP(A139,'Balancete 2014'!A:D,4,0)</f>
        <v>931482.37</v>
      </c>
      <c r="H139" s="95">
        <v>674325.37</v>
      </c>
      <c r="I139" s="99">
        <f t="shared" si="1"/>
        <v>-428167.83</v>
      </c>
    </row>
    <row r="140" spans="1:9">
      <c r="A140" s="156" t="s">
        <v>88</v>
      </c>
      <c r="B140" s="119">
        <v>-5</v>
      </c>
      <c r="C140" s="128" t="s">
        <v>820</v>
      </c>
      <c r="D140" s="128">
        <v>503314.54</v>
      </c>
      <c r="E140" s="95">
        <f>VLOOKUP(A140,'Balancete 2014'!A:D,4,0)</f>
        <v>931482.37</v>
      </c>
      <c r="H140" s="95">
        <v>674325.37</v>
      </c>
      <c r="I140" s="99">
        <f t="shared" si="1"/>
        <v>-428167.83</v>
      </c>
    </row>
    <row r="141" spans="1:9">
      <c r="A141" s="156" t="s">
        <v>89</v>
      </c>
      <c r="B141" s="119">
        <v>-2</v>
      </c>
      <c r="C141" s="128" t="s">
        <v>821</v>
      </c>
      <c r="D141" s="128">
        <v>235626.3</v>
      </c>
      <c r="E141" s="95">
        <f>VLOOKUP(A141,'Balancete 2014'!A:D,4,0)</f>
        <v>329456.34999999998</v>
      </c>
      <c r="H141" s="95">
        <v>185737.43</v>
      </c>
      <c r="I141" s="99">
        <f t="shared" si="1"/>
        <v>-93830.049999999988</v>
      </c>
    </row>
    <row r="142" spans="1:9">
      <c r="A142" s="156" t="s">
        <v>637</v>
      </c>
      <c r="B142" s="119">
        <v>0</v>
      </c>
      <c r="C142" s="128" t="s">
        <v>822</v>
      </c>
      <c r="D142" s="128">
        <v>200921.05</v>
      </c>
      <c r="E142" s="95">
        <f>VLOOKUP(A142,'Balancete 2014'!A:D,4,0)</f>
        <v>311269.01</v>
      </c>
      <c r="H142" s="95">
        <v>170688.63</v>
      </c>
      <c r="I142" s="99">
        <f t="shared" si="1"/>
        <v>-110347.96000000002</v>
      </c>
    </row>
    <row r="143" spans="1:9">
      <c r="A143" s="156" t="s">
        <v>90</v>
      </c>
      <c r="B143" s="119">
        <v>-9</v>
      </c>
      <c r="C143" s="128" t="s">
        <v>823</v>
      </c>
      <c r="D143" s="128">
        <v>34705.25</v>
      </c>
      <c r="E143" s="95">
        <f>VLOOKUP(A143,'Balancete 2014'!A:D,4,0)</f>
        <v>18187.34</v>
      </c>
      <c r="H143" s="95">
        <v>15048.8</v>
      </c>
      <c r="I143" s="99">
        <f t="shared" si="1"/>
        <v>16517.91</v>
      </c>
    </row>
    <row r="144" spans="1:9">
      <c r="A144" s="156" t="s">
        <v>91</v>
      </c>
      <c r="B144" s="119">
        <v>0</v>
      </c>
      <c r="C144" s="128" t="s">
        <v>824</v>
      </c>
      <c r="D144" s="128">
        <v>77564.97</v>
      </c>
      <c r="E144" s="95">
        <f>VLOOKUP(A144,'Balancete 2014'!A:D,4,0)</f>
        <v>94622.67</v>
      </c>
      <c r="H144" s="95">
        <v>69584.850000000006</v>
      </c>
      <c r="I144" s="99">
        <f t="shared" si="1"/>
        <v>-17057.699999999997</v>
      </c>
    </row>
    <row r="145" spans="1:9">
      <c r="A145" s="156" t="s">
        <v>92</v>
      </c>
      <c r="B145" s="119">
        <v>-9</v>
      </c>
      <c r="C145" s="128" t="s">
        <v>825</v>
      </c>
      <c r="D145" s="128">
        <v>77564.97</v>
      </c>
      <c r="E145" s="95">
        <f>VLOOKUP(A145,'Balancete 2014'!A:D,4,0)</f>
        <v>94622.67</v>
      </c>
      <c r="H145" s="95">
        <v>69584.850000000006</v>
      </c>
      <c r="I145" s="99">
        <f t="shared" si="1"/>
        <v>-17057.699999999997</v>
      </c>
    </row>
    <row r="146" spans="1:9">
      <c r="A146" s="156" t="s">
        <v>93</v>
      </c>
      <c r="B146" s="119">
        <v>0</v>
      </c>
      <c r="C146" s="128" t="s">
        <v>94</v>
      </c>
      <c r="D146" s="128">
        <v>2172053.0699999998</v>
      </c>
      <c r="E146" s="95">
        <f>VLOOKUP(A146,'Balancete 2014'!A:D,4,0)</f>
        <v>3442611.36</v>
      </c>
      <c r="H146" s="95">
        <v>2820690.97</v>
      </c>
      <c r="I146" s="99">
        <f t="shared" si="1"/>
        <v>-1270558.29</v>
      </c>
    </row>
    <row r="147" spans="1:9">
      <c r="A147" s="156" t="s">
        <v>95</v>
      </c>
      <c r="B147" s="119">
        <v>-2</v>
      </c>
      <c r="C147" s="128" t="s">
        <v>94</v>
      </c>
      <c r="D147" s="128">
        <v>2172053.0699999998</v>
      </c>
      <c r="E147" s="95">
        <f>VLOOKUP(A147,'Balancete 2014'!A:D,4,0)</f>
        <v>3442611.36</v>
      </c>
      <c r="H147" s="95">
        <v>2820690.97</v>
      </c>
      <c r="I147" s="99">
        <f t="shared" ref="I147:I196" si="2">+D147-E147</f>
        <v>-1270558.29</v>
      </c>
    </row>
    <row r="148" spans="1:9">
      <c r="A148" s="156" t="s">
        <v>96</v>
      </c>
      <c r="B148" s="119">
        <v>0</v>
      </c>
      <c r="C148" s="128" t="s">
        <v>826</v>
      </c>
      <c r="D148" s="128">
        <v>523497.4</v>
      </c>
      <c r="E148" s="95">
        <f>VLOOKUP(A148,'Balancete 2014'!A:D,4,0)</f>
        <v>865877.22</v>
      </c>
      <c r="H148" s="95">
        <v>702775.2</v>
      </c>
      <c r="I148" s="99">
        <f t="shared" si="2"/>
        <v>-342379.81999999995</v>
      </c>
    </row>
    <row r="149" spans="1:9">
      <c r="A149" s="156" t="s">
        <v>97</v>
      </c>
      <c r="B149" s="119">
        <v>-9</v>
      </c>
      <c r="C149" s="128" t="s">
        <v>827</v>
      </c>
      <c r="D149" s="128">
        <v>728397.45</v>
      </c>
      <c r="E149" s="95">
        <f>VLOOKUP(A149,'Balancete 2014'!A:D,4,0)</f>
        <v>1103577.68</v>
      </c>
      <c r="H149" s="95">
        <v>879066.62</v>
      </c>
      <c r="I149" s="99">
        <f t="shared" si="2"/>
        <v>-375180.23</v>
      </c>
    </row>
    <row r="150" spans="1:9">
      <c r="A150" s="156" t="s">
        <v>98</v>
      </c>
      <c r="B150" s="119">
        <v>-7</v>
      </c>
      <c r="C150" s="128" t="s">
        <v>900</v>
      </c>
      <c r="D150" s="128">
        <v>15614.23</v>
      </c>
      <c r="E150" s="95">
        <f>VLOOKUP(A150,'Balancete 2014'!A:D,4,0)</f>
        <v>79125.73</v>
      </c>
      <c r="H150" s="95">
        <v>31305.88</v>
      </c>
      <c r="I150" s="99">
        <f t="shared" si="2"/>
        <v>-63511.5</v>
      </c>
    </row>
    <row r="151" spans="1:9">
      <c r="A151" s="156" t="s">
        <v>99</v>
      </c>
      <c r="B151" s="119">
        <v>-5</v>
      </c>
      <c r="C151" s="128" t="s">
        <v>901</v>
      </c>
      <c r="D151" s="128">
        <v>35538.35</v>
      </c>
      <c r="E151" s="95">
        <f>VLOOKUP(A151,'Balancete 2014'!A:D,4,0)</f>
        <v>65240.13</v>
      </c>
      <c r="H151" s="95">
        <v>68286.39</v>
      </c>
      <c r="I151" s="99">
        <f t="shared" si="2"/>
        <v>-29701.78</v>
      </c>
    </row>
    <row r="152" spans="1:9">
      <c r="A152" s="156" t="s">
        <v>100</v>
      </c>
      <c r="B152" s="119">
        <v>-1</v>
      </c>
      <c r="C152" s="128" t="s">
        <v>828</v>
      </c>
      <c r="D152" s="128">
        <v>415790.43</v>
      </c>
      <c r="E152" s="95">
        <f>VLOOKUP(A152,'Balancete 2014'!A:D,4,0)</f>
        <v>611912.44999999995</v>
      </c>
      <c r="H152" s="95">
        <v>522172.44</v>
      </c>
      <c r="I152" s="99">
        <f t="shared" si="2"/>
        <v>-196122.01999999996</v>
      </c>
    </row>
    <row r="153" spans="1:9">
      <c r="A153" s="156" t="s">
        <v>101</v>
      </c>
      <c r="B153" s="119">
        <v>-8</v>
      </c>
      <c r="C153" s="128" t="s">
        <v>829</v>
      </c>
      <c r="D153" s="128">
        <v>22696.45</v>
      </c>
      <c r="E153" s="95">
        <f>VLOOKUP(A153,'Balancete 2014'!A:D,4,0)</f>
        <v>37505.410000000003</v>
      </c>
      <c r="H153" s="95">
        <v>32079.599999999999</v>
      </c>
      <c r="I153" s="99">
        <f t="shared" si="2"/>
        <v>-14808.960000000003</v>
      </c>
    </row>
    <row r="154" spans="1:9">
      <c r="A154" s="156" t="s">
        <v>102</v>
      </c>
      <c r="B154" s="119">
        <v>-4</v>
      </c>
      <c r="C154" s="128" t="s">
        <v>830</v>
      </c>
      <c r="D154" s="128">
        <v>135098.03</v>
      </c>
      <c r="E154" s="95">
        <f>VLOOKUP(A154,'Balancete 2014'!A:D,4,0)</f>
        <v>223246.51</v>
      </c>
      <c r="H154" s="95">
        <v>190950.32</v>
      </c>
      <c r="I154" s="99">
        <f t="shared" si="2"/>
        <v>-88148.48000000001</v>
      </c>
    </row>
    <row r="155" spans="1:9">
      <c r="A155" s="156" t="s">
        <v>103</v>
      </c>
      <c r="B155" s="119">
        <v>-2</v>
      </c>
      <c r="C155" s="128" t="s">
        <v>831</v>
      </c>
      <c r="D155" s="128">
        <v>245338.02</v>
      </c>
      <c r="E155" s="95">
        <f>VLOOKUP(A155,'Balancete 2014'!A:D,4,0)</f>
        <v>412820.2</v>
      </c>
      <c r="H155" s="95">
        <v>346665.82</v>
      </c>
      <c r="I155" s="99">
        <f t="shared" si="2"/>
        <v>-167482.18000000002</v>
      </c>
    </row>
    <row r="156" spans="1:9">
      <c r="A156" s="156" t="s">
        <v>104</v>
      </c>
      <c r="B156" s="119">
        <v>0</v>
      </c>
      <c r="C156" s="128" t="s">
        <v>902</v>
      </c>
      <c r="D156" s="128">
        <v>24414.07</v>
      </c>
      <c r="E156" s="95">
        <f>VLOOKUP(A156,'Balancete 2014'!A:D,4,0)</f>
        <v>43155.78</v>
      </c>
      <c r="H156" s="95">
        <v>47342.11</v>
      </c>
      <c r="I156" s="99">
        <f t="shared" si="2"/>
        <v>-18741.71</v>
      </c>
    </row>
    <row r="157" spans="1:9">
      <c r="A157" s="156" t="s">
        <v>105</v>
      </c>
      <c r="B157" s="119">
        <v>-9</v>
      </c>
      <c r="C157" s="128" t="s">
        <v>903</v>
      </c>
      <c r="D157" s="128">
        <v>16.64</v>
      </c>
      <c r="E157" s="95">
        <f>VLOOKUP(A157,'Balancete 2014'!A:D,4,0)</f>
        <v>113.72</v>
      </c>
      <c r="H157" s="95">
        <v>46.59</v>
      </c>
      <c r="I157" s="99">
        <f t="shared" si="2"/>
        <v>-97.08</v>
      </c>
    </row>
    <row r="158" spans="1:9">
      <c r="A158" s="156" t="s">
        <v>475</v>
      </c>
      <c r="B158" s="119">
        <v>-1</v>
      </c>
      <c r="C158" s="128" t="s">
        <v>904</v>
      </c>
      <c r="D158" s="128">
        <v>25652</v>
      </c>
      <c r="E158" s="95">
        <f>VLOOKUP(A158,'Balancete 2014'!A:D,4,0)</f>
        <v>36.53</v>
      </c>
      <c r="H158" s="95" t="e">
        <v>#N/A</v>
      </c>
      <c r="I158" s="99">
        <f t="shared" si="2"/>
        <v>25615.47</v>
      </c>
    </row>
    <row r="159" spans="1:9">
      <c r="A159" s="156" t="s">
        <v>754</v>
      </c>
      <c r="B159" s="119">
        <v>-6</v>
      </c>
      <c r="C159" s="128" t="s">
        <v>832</v>
      </c>
      <c r="D159" s="128">
        <v>23405.16</v>
      </c>
      <c r="E159" s="95" t="e">
        <f>VLOOKUP(A159,'Balancete 2014'!A:D,4,0)</f>
        <v>#N/A</v>
      </c>
      <c r="H159" s="95" t="e">
        <v>#N/A</v>
      </c>
      <c r="I159" s="99" t="e">
        <f t="shared" si="2"/>
        <v>#N/A</v>
      </c>
    </row>
    <row r="160" spans="1:9">
      <c r="A160" s="156" t="s">
        <v>755</v>
      </c>
      <c r="B160" s="119">
        <v>-1</v>
      </c>
      <c r="C160" s="128" t="s">
        <v>832</v>
      </c>
      <c r="D160" s="128">
        <v>23405.16</v>
      </c>
      <c r="E160" s="95" t="e">
        <f>VLOOKUP(A160,'Balancete 2014'!A:D,4,0)</f>
        <v>#N/A</v>
      </c>
      <c r="H160" s="95" t="e">
        <v>#N/A</v>
      </c>
      <c r="I160" s="99" t="e">
        <f t="shared" si="2"/>
        <v>#N/A</v>
      </c>
    </row>
    <row r="161" spans="1:9">
      <c r="A161" s="156" t="s">
        <v>756</v>
      </c>
      <c r="B161" s="119">
        <v>0</v>
      </c>
      <c r="C161" s="128" t="s">
        <v>789</v>
      </c>
      <c r="D161" s="128">
        <v>23405.16</v>
      </c>
      <c r="E161" s="95" t="e">
        <f>VLOOKUP(A161,'Balancete 2014'!A:D,4,0)</f>
        <v>#N/A</v>
      </c>
      <c r="H161" s="95" t="e">
        <v>#N/A</v>
      </c>
      <c r="I161" s="99" t="e">
        <f t="shared" si="2"/>
        <v>#N/A</v>
      </c>
    </row>
    <row r="162" spans="1:9">
      <c r="A162" s="156" t="s">
        <v>106</v>
      </c>
      <c r="B162" s="119">
        <v>-8</v>
      </c>
      <c r="C162" s="128" t="s">
        <v>107</v>
      </c>
      <c r="D162" s="128">
        <v>17349.18</v>
      </c>
      <c r="E162" s="95">
        <f>VLOOKUP(A162,'Balancete 2014'!A:D,4,0)</f>
        <v>20495.25</v>
      </c>
      <c r="H162" s="95">
        <v>20972.880000000001</v>
      </c>
      <c r="I162" s="99">
        <f t="shared" si="2"/>
        <v>-3146.0699999999997</v>
      </c>
    </row>
    <row r="163" spans="1:9">
      <c r="A163" s="156" t="s">
        <v>108</v>
      </c>
      <c r="B163" s="119">
        <v>0</v>
      </c>
      <c r="C163" s="128" t="s">
        <v>833</v>
      </c>
      <c r="D163" s="128">
        <v>17349.18</v>
      </c>
      <c r="E163" s="95">
        <f>VLOOKUP(A163,'Balancete 2014'!A:D,4,0)</f>
        <v>20495.25</v>
      </c>
      <c r="H163" s="95">
        <v>20972.880000000001</v>
      </c>
      <c r="I163" s="99">
        <f t="shared" si="2"/>
        <v>-3146.0699999999997</v>
      </c>
    </row>
    <row r="164" spans="1:9">
      <c r="A164" s="156" t="s">
        <v>109</v>
      </c>
      <c r="B164" s="119">
        <v>-8</v>
      </c>
      <c r="C164" s="128" t="s">
        <v>834</v>
      </c>
      <c r="D164" s="128">
        <v>17349.18</v>
      </c>
      <c r="E164" s="95">
        <f>VLOOKUP(A164,'Balancete 2014'!A:D,4,0)</f>
        <v>20495.25</v>
      </c>
      <c r="H164" s="95">
        <v>20972.880000000001</v>
      </c>
      <c r="I164" s="99">
        <f t="shared" si="2"/>
        <v>-3146.0699999999997</v>
      </c>
    </row>
    <row r="165" spans="1:9">
      <c r="A165" s="156" t="s">
        <v>110</v>
      </c>
      <c r="B165" s="119">
        <v>-1</v>
      </c>
      <c r="C165" s="128" t="s">
        <v>111</v>
      </c>
      <c r="D165" s="128">
        <v>860322.27</v>
      </c>
      <c r="E165" s="95">
        <f>VLOOKUP(A165,'Balancete 2014'!A:D,4,0)</f>
        <v>1584800</v>
      </c>
      <c r="H165" s="95">
        <v>1213000</v>
      </c>
      <c r="I165" s="99">
        <f t="shared" si="2"/>
        <v>-724477.73</v>
      </c>
    </row>
    <row r="166" spans="1:9">
      <c r="A166" s="156" t="s">
        <v>112</v>
      </c>
      <c r="B166" s="119">
        <v>-2</v>
      </c>
      <c r="C166" s="128" t="s">
        <v>905</v>
      </c>
      <c r="D166" s="128">
        <v>860322.27</v>
      </c>
      <c r="E166" s="95">
        <f>VLOOKUP(A166,'Balancete 2014'!A:D,4,0)</f>
        <v>1584800</v>
      </c>
      <c r="H166" s="95">
        <v>1213000</v>
      </c>
      <c r="I166" s="99">
        <f t="shared" si="2"/>
        <v>-724477.73</v>
      </c>
    </row>
    <row r="167" spans="1:9">
      <c r="A167" s="156" t="s">
        <v>113</v>
      </c>
      <c r="B167" s="119">
        <v>0</v>
      </c>
      <c r="C167" s="128" t="s">
        <v>906</v>
      </c>
      <c r="D167" s="128">
        <v>515167</v>
      </c>
      <c r="E167" s="95">
        <f>VLOOKUP(A167,'Balancete 2014'!A:D,4,0)</f>
        <v>1584800</v>
      </c>
      <c r="H167" s="95">
        <v>1213000</v>
      </c>
      <c r="I167" s="99">
        <f t="shared" si="2"/>
        <v>-1069633</v>
      </c>
    </row>
    <row r="168" spans="1:9">
      <c r="A168" s="156" t="s">
        <v>757</v>
      </c>
      <c r="B168" s="119">
        <v>-9</v>
      </c>
      <c r="C168" s="128" t="s">
        <v>907</v>
      </c>
      <c r="D168" s="128">
        <v>345155.27</v>
      </c>
      <c r="E168" s="95" t="e">
        <f>VLOOKUP(A168,'Balancete 2014'!A:D,4,0)</f>
        <v>#N/A</v>
      </c>
      <c r="H168" s="95" t="e">
        <v>#N/A</v>
      </c>
      <c r="I168" s="99" t="e">
        <f t="shared" si="2"/>
        <v>#N/A</v>
      </c>
    </row>
    <row r="169" spans="1:9">
      <c r="A169" s="156" t="s">
        <v>114</v>
      </c>
      <c r="B169" s="119">
        <v>-9</v>
      </c>
      <c r="C169" s="128" t="s">
        <v>115</v>
      </c>
      <c r="D169" s="128">
        <v>204.8</v>
      </c>
      <c r="E169" s="95">
        <f>VLOOKUP(A169,'Balancete 2014'!A:D,4,0)</f>
        <v>607533.81999999995</v>
      </c>
      <c r="H169" s="95">
        <v>6374.6</v>
      </c>
      <c r="I169" s="99">
        <f t="shared" si="2"/>
        <v>-607329.0199999999</v>
      </c>
    </row>
    <row r="170" spans="1:9">
      <c r="A170" s="156" t="s">
        <v>116</v>
      </c>
      <c r="B170" s="119">
        <v>0</v>
      </c>
      <c r="C170" s="128" t="s">
        <v>115</v>
      </c>
      <c r="D170" s="128">
        <v>204.8</v>
      </c>
      <c r="E170" s="95">
        <f>VLOOKUP(A170,'Balancete 2014'!A:D,4,0)</f>
        <v>607533.81999999995</v>
      </c>
      <c r="H170" s="95">
        <v>6374.6</v>
      </c>
      <c r="I170" s="99">
        <f t="shared" si="2"/>
        <v>-607329.0199999999</v>
      </c>
    </row>
    <row r="171" spans="1:9">
      <c r="A171" s="156" t="s">
        <v>117</v>
      </c>
      <c r="B171" s="119">
        <v>-6</v>
      </c>
      <c r="C171" s="128" t="s">
        <v>678</v>
      </c>
      <c r="D171" s="128">
        <v>204.8</v>
      </c>
      <c r="E171" s="95">
        <f>VLOOKUP(A171,'Balancete 2014'!A:D,4,0)</f>
        <v>607533.81999999995</v>
      </c>
      <c r="H171" s="95">
        <v>6374.6</v>
      </c>
      <c r="I171" s="99">
        <f t="shared" si="2"/>
        <v>-607329.0199999999</v>
      </c>
    </row>
    <row r="172" spans="1:9">
      <c r="A172" s="156" t="s">
        <v>122</v>
      </c>
      <c r="B172" s="119">
        <v>0</v>
      </c>
      <c r="C172" s="128" t="s">
        <v>123</v>
      </c>
      <c r="D172" s="128">
        <v>176357.93</v>
      </c>
      <c r="E172" s="95">
        <f>VLOOKUP(A172,'Balancete 2014'!A:D,4,0)</f>
        <v>116481.54</v>
      </c>
      <c r="H172" s="95">
        <v>550792.53</v>
      </c>
      <c r="I172" s="99">
        <f t="shared" si="2"/>
        <v>59876.39</v>
      </c>
    </row>
    <row r="173" spans="1:9">
      <c r="A173" s="156" t="s">
        <v>124</v>
      </c>
      <c r="B173" s="119">
        <v>-7</v>
      </c>
      <c r="C173" s="128" t="s">
        <v>835</v>
      </c>
      <c r="D173" s="128">
        <v>176357.93</v>
      </c>
      <c r="E173" s="95">
        <f>VLOOKUP(A173,'Balancete 2014'!A:D,4,0)</f>
        <v>116481.54</v>
      </c>
      <c r="H173" s="95">
        <v>550792.53</v>
      </c>
      <c r="I173" s="99">
        <f t="shared" si="2"/>
        <v>59876.39</v>
      </c>
    </row>
    <row r="174" spans="1:9">
      <c r="A174" s="156" t="s">
        <v>125</v>
      </c>
      <c r="B174" s="119">
        <v>-6</v>
      </c>
      <c r="C174" s="128" t="s">
        <v>123</v>
      </c>
      <c r="D174" s="128">
        <v>176357.93</v>
      </c>
      <c r="E174" s="95">
        <f>VLOOKUP(A174,'Balancete 2014'!A:D,4,0)</f>
        <v>101471.54</v>
      </c>
      <c r="H174" s="95">
        <v>550752.53</v>
      </c>
      <c r="I174" s="99">
        <f t="shared" si="2"/>
        <v>74886.39</v>
      </c>
    </row>
    <row r="175" spans="1:9">
      <c r="A175" s="156" t="s">
        <v>337</v>
      </c>
      <c r="B175" s="119">
        <v>-2</v>
      </c>
      <c r="C175" s="128" t="s">
        <v>132</v>
      </c>
      <c r="D175" s="128">
        <v>2988812.07</v>
      </c>
      <c r="E175" s="95">
        <f>VLOOKUP(A175,'Balancete 2014'!A:D,4,0)</f>
        <v>18065234.129999999</v>
      </c>
      <c r="H175" s="95">
        <v>7605685.8499999996</v>
      </c>
      <c r="I175" s="99">
        <f t="shared" si="2"/>
        <v>-15076422.059999999</v>
      </c>
    </row>
    <row r="176" spans="1:9">
      <c r="A176" s="156" t="s">
        <v>133</v>
      </c>
      <c r="B176" s="119">
        <v>-3</v>
      </c>
      <c r="C176" s="128" t="s">
        <v>134</v>
      </c>
      <c r="D176" s="128">
        <v>2185606.1800000002</v>
      </c>
      <c r="E176" s="95">
        <f>VLOOKUP(A176,'Balancete 2014'!A:D,4,0)</f>
        <v>5526413.9000000004</v>
      </c>
      <c r="H176" s="95">
        <v>2988573.51</v>
      </c>
      <c r="I176" s="99">
        <f t="shared" si="2"/>
        <v>-3340807.72</v>
      </c>
    </row>
    <row r="177" spans="1:9">
      <c r="A177" s="156" t="s">
        <v>135</v>
      </c>
      <c r="B177" s="119">
        <v>-5</v>
      </c>
      <c r="C177" s="128" t="s">
        <v>134</v>
      </c>
      <c r="D177" s="128">
        <v>2185606.1800000002</v>
      </c>
      <c r="E177" s="95">
        <f>VLOOKUP(A177,'Balancete 2014'!A:D,4,0)</f>
        <v>5449581.4500000002</v>
      </c>
      <c r="H177" s="95">
        <v>2988573.51</v>
      </c>
      <c r="I177" s="99">
        <f t="shared" si="2"/>
        <v>-3263975.27</v>
      </c>
    </row>
    <row r="178" spans="1:9">
      <c r="A178" s="156" t="s">
        <v>136</v>
      </c>
      <c r="B178" s="119">
        <v>-3</v>
      </c>
      <c r="C178" s="128" t="s">
        <v>134</v>
      </c>
      <c r="D178" s="128">
        <v>2185606.1800000002</v>
      </c>
      <c r="E178" s="95">
        <f>VLOOKUP(A178,'Balancete 2014'!A:D,4,0)</f>
        <v>5449581.4500000002</v>
      </c>
      <c r="H178" s="95">
        <v>2988573.51</v>
      </c>
      <c r="I178" s="99">
        <f t="shared" si="2"/>
        <v>-3263975.27</v>
      </c>
    </row>
    <row r="179" spans="1:9">
      <c r="A179" s="156" t="s">
        <v>137</v>
      </c>
      <c r="B179" s="119">
        <v>-7</v>
      </c>
      <c r="C179" s="128" t="s">
        <v>138</v>
      </c>
      <c r="D179" s="128">
        <v>366669.87</v>
      </c>
      <c r="E179" s="95">
        <f>VLOOKUP(A179,'Balancete 2014'!A:D,4,0)</f>
        <v>1199813.55</v>
      </c>
      <c r="H179" s="95">
        <v>648835.05000000005</v>
      </c>
      <c r="I179" s="99">
        <f t="shared" si="2"/>
        <v>-833143.68</v>
      </c>
    </row>
    <row r="180" spans="1:9">
      <c r="A180" s="156" t="s">
        <v>139</v>
      </c>
      <c r="B180" s="119">
        <v>-9</v>
      </c>
      <c r="C180" s="128" t="s">
        <v>138</v>
      </c>
      <c r="D180" s="128">
        <v>366669.87</v>
      </c>
      <c r="E180" s="95">
        <f>VLOOKUP(A180,'Balancete 2014'!A:D,4,0)</f>
        <v>1183132.82</v>
      </c>
      <c r="H180" s="95">
        <v>648835.05000000005</v>
      </c>
      <c r="I180" s="99">
        <f t="shared" si="2"/>
        <v>-816462.95000000007</v>
      </c>
    </row>
    <row r="181" spans="1:9">
      <c r="A181" s="156" t="s">
        <v>140</v>
      </c>
      <c r="B181" s="119">
        <v>-7</v>
      </c>
      <c r="C181" s="128" t="s">
        <v>836</v>
      </c>
      <c r="D181" s="128">
        <v>366669.87</v>
      </c>
      <c r="E181" s="95">
        <f>VLOOKUP(A181,'Balancete 2014'!A:D,4,0)</f>
        <v>1183132.82</v>
      </c>
      <c r="H181" s="95">
        <v>648835.05000000005</v>
      </c>
      <c r="I181" s="99">
        <f t="shared" si="2"/>
        <v>-816462.95000000007</v>
      </c>
    </row>
    <row r="182" spans="1:9">
      <c r="A182" s="156" t="s">
        <v>141</v>
      </c>
      <c r="B182" s="119">
        <v>-6</v>
      </c>
      <c r="C182" s="128" t="s">
        <v>132</v>
      </c>
      <c r="D182" s="128">
        <v>436536.02</v>
      </c>
      <c r="E182" s="95">
        <f>VLOOKUP(A182,'Balancete 2014'!A:D,4,0)</f>
        <v>11339006.68</v>
      </c>
      <c r="H182" s="95">
        <v>3968277.29</v>
      </c>
      <c r="I182" s="99">
        <f t="shared" si="2"/>
        <v>-10902470.66</v>
      </c>
    </row>
    <row r="183" spans="1:9">
      <c r="A183" s="156" t="s">
        <v>142</v>
      </c>
      <c r="B183" s="119">
        <v>-3</v>
      </c>
      <c r="C183" s="128" t="s">
        <v>132</v>
      </c>
      <c r="D183" s="128">
        <v>436536.02</v>
      </c>
      <c r="E183" s="95">
        <f>VLOOKUP(A183,'Balancete 2014'!A:D,4,0)</f>
        <v>11339006.68</v>
      </c>
      <c r="H183" s="95">
        <v>3968277.29</v>
      </c>
      <c r="I183" s="99">
        <f t="shared" si="2"/>
        <v>-10902470.66</v>
      </c>
    </row>
    <row r="184" spans="1:9">
      <c r="A184" s="156" t="s">
        <v>144</v>
      </c>
      <c r="B184" s="119">
        <v>-1</v>
      </c>
      <c r="C184" s="128" t="s">
        <v>837</v>
      </c>
      <c r="D184" s="128">
        <v>538.94000000000005</v>
      </c>
      <c r="E184" s="95">
        <f>VLOOKUP(A184,'Balancete 2014'!A:D,4,0)</f>
        <v>547.33000000000004</v>
      </c>
      <c r="H184" s="95">
        <v>128.22</v>
      </c>
      <c r="I184" s="99">
        <f t="shared" si="2"/>
        <v>-8.3899999999999864</v>
      </c>
    </row>
    <row r="185" spans="1:9">
      <c r="A185" s="156" t="s">
        <v>146</v>
      </c>
      <c r="B185" s="119">
        <v>-4</v>
      </c>
      <c r="C185" s="128" t="s">
        <v>838</v>
      </c>
      <c r="D185" s="128">
        <v>435997.08</v>
      </c>
      <c r="E185" s="95">
        <f>VLOOKUP(A185,'Balancete 2014'!A:D,4,0)</f>
        <v>921432.36</v>
      </c>
      <c r="H185" s="95">
        <v>921432.36</v>
      </c>
      <c r="I185" s="99">
        <f t="shared" si="2"/>
        <v>-485435.27999999997</v>
      </c>
    </row>
    <row r="186" spans="1:9">
      <c r="A186" s="156" t="s">
        <v>147</v>
      </c>
      <c r="B186" s="119">
        <v>-7</v>
      </c>
      <c r="C186" s="128" t="s">
        <v>148</v>
      </c>
      <c r="D186" s="128">
        <v>14531852.33</v>
      </c>
      <c r="E186" s="95">
        <f>VLOOKUP(A186,'Balancete 2014'!A:D,4,0)</f>
        <v>38078820.880000003</v>
      </c>
      <c r="H186" s="95">
        <v>16874562.960000001</v>
      </c>
      <c r="I186" s="99">
        <f t="shared" si="2"/>
        <v>-23546968.550000004</v>
      </c>
    </row>
    <row r="187" spans="1:9">
      <c r="A187" s="156" t="s">
        <v>149</v>
      </c>
      <c r="B187" s="119">
        <v>0</v>
      </c>
      <c r="C187" s="128" t="s">
        <v>150</v>
      </c>
      <c r="D187" s="128">
        <v>14531852.33</v>
      </c>
      <c r="E187" s="95">
        <f>VLOOKUP(A187,'Balancete 2014'!A:D,4,0)</f>
        <v>38078820.880000003</v>
      </c>
      <c r="H187" s="95">
        <v>16874562.960000001</v>
      </c>
      <c r="I187" s="99">
        <f t="shared" si="2"/>
        <v>-23546968.550000004</v>
      </c>
    </row>
    <row r="188" spans="1:9">
      <c r="A188" s="156" t="s">
        <v>151</v>
      </c>
      <c r="B188" s="119">
        <v>-3</v>
      </c>
      <c r="C188" s="128" t="s">
        <v>150</v>
      </c>
      <c r="D188" s="128">
        <v>10682009.07</v>
      </c>
      <c r="E188" s="95">
        <f>VLOOKUP(A188,'Balancete 2014'!A:D,4,0)</f>
        <v>27993038.469999999</v>
      </c>
      <c r="H188" s="95">
        <v>12401434.48</v>
      </c>
      <c r="I188" s="99">
        <f t="shared" si="2"/>
        <v>-17311029.399999999</v>
      </c>
    </row>
    <row r="189" spans="1:9">
      <c r="A189" s="156" t="s">
        <v>341</v>
      </c>
      <c r="B189" s="119">
        <v>-5</v>
      </c>
      <c r="C189" s="128" t="s">
        <v>150</v>
      </c>
      <c r="D189" s="128">
        <v>10683615.140000001</v>
      </c>
      <c r="E189" s="95">
        <f>VLOOKUP(A189,'Balancete 2014'!A:D,4,0)</f>
        <v>27770863.710000001</v>
      </c>
      <c r="H189" s="95">
        <v>12406228.140000001</v>
      </c>
      <c r="I189" s="99">
        <f t="shared" si="2"/>
        <v>-17087248.57</v>
      </c>
    </row>
    <row r="190" spans="1:9">
      <c r="A190" s="156" t="s">
        <v>152</v>
      </c>
      <c r="B190" s="119">
        <v>-3</v>
      </c>
      <c r="C190" s="128" t="s">
        <v>150</v>
      </c>
      <c r="D190" s="128">
        <v>10683615.140000001</v>
      </c>
      <c r="E190" s="95">
        <f>VLOOKUP(A190,'Balancete 2014'!A:D,4,0)</f>
        <v>27770863.710000001</v>
      </c>
      <c r="H190" s="95">
        <v>12406228.140000001</v>
      </c>
      <c r="I190" s="99">
        <f t="shared" si="2"/>
        <v>-17087248.57</v>
      </c>
    </row>
    <row r="191" spans="1:9">
      <c r="A191" s="156" t="s">
        <v>153</v>
      </c>
      <c r="B191" s="119">
        <v>-6</v>
      </c>
      <c r="C191" s="128" t="s">
        <v>839</v>
      </c>
      <c r="D191" s="128">
        <v>-1606.07</v>
      </c>
      <c r="E191" s="95">
        <f>VLOOKUP(A191,'Balancete 2014'!A:D,4,0)</f>
        <v>-7185.28</v>
      </c>
      <c r="H191" s="95">
        <v>-4793.66</v>
      </c>
      <c r="I191" s="99">
        <f t="shared" si="2"/>
        <v>5579.21</v>
      </c>
    </row>
    <row r="192" spans="1:9">
      <c r="A192" s="156" t="s">
        <v>343</v>
      </c>
      <c r="B192" s="119">
        <v>-4</v>
      </c>
      <c r="C192" s="128" t="s">
        <v>840</v>
      </c>
      <c r="D192" s="128">
        <v>-1606.07</v>
      </c>
      <c r="E192" s="95">
        <f>VLOOKUP(A192,'Balancete 2014'!A:D,4,0)</f>
        <v>-7185.28</v>
      </c>
      <c r="H192" s="95">
        <v>-4793.66</v>
      </c>
      <c r="I192" s="99">
        <f t="shared" si="2"/>
        <v>5579.21</v>
      </c>
    </row>
    <row r="193" spans="1:11">
      <c r="A193" s="156" t="s">
        <v>154</v>
      </c>
      <c r="B193" s="119">
        <v>-7</v>
      </c>
      <c r="C193" s="128" t="s">
        <v>155</v>
      </c>
      <c r="D193" s="128">
        <v>3849843.26</v>
      </c>
      <c r="E193" s="95">
        <f>VLOOKUP(A193,'Balancete 2014'!A:D,4,0)</f>
        <v>10085782.41</v>
      </c>
      <c r="H193" s="95">
        <v>4473128.4800000004</v>
      </c>
      <c r="I193" s="99">
        <f t="shared" si="2"/>
        <v>-6235939.1500000004</v>
      </c>
    </row>
    <row r="194" spans="1:11">
      <c r="A194" s="156" t="s">
        <v>342</v>
      </c>
      <c r="B194" s="119">
        <v>-9</v>
      </c>
      <c r="C194" s="128" t="s">
        <v>155</v>
      </c>
      <c r="D194" s="128">
        <v>3850421.45</v>
      </c>
      <c r="E194" s="95">
        <f>VLOOKUP(A194,'Balancete 2014'!A:D,4,0)</f>
        <v>10005799.5</v>
      </c>
      <c r="G194" s="93" t="s">
        <v>518</v>
      </c>
      <c r="H194" s="95">
        <v>4474854.2</v>
      </c>
      <c r="I194" s="99">
        <f t="shared" si="2"/>
        <v>-6155378.0499999998</v>
      </c>
    </row>
    <row r="195" spans="1:11">
      <c r="A195" s="156" t="s">
        <v>156</v>
      </c>
      <c r="B195" s="119">
        <v>-7</v>
      </c>
      <c r="C195" s="128" t="s">
        <v>155</v>
      </c>
      <c r="D195" s="128">
        <v>3850421.45</v>
      </c>
      <c r="E195" s="95">
        <f>VLOOKUP(A195,'Balancete 2014'!A:D,4,0)</f>
        <v>10005799.5</v>
      </c>
      <c r="G195" s="93" t="s">
        <v>525</v>
      </c>
      <c r="H195" s="95">
        <v>4474854.2</v>
      </c>
      <c r="I195" s="99">
        <f t="shared" si="2"/>
        <v>-6155378.0499999998</v>
      </c>
    </row>
    <row r="196" spans="1:11">
      <c r="A196" s="156" t="s">
        <v>157</v>
      </c>
      <c r="B196" s="119">
        <v>0</v>
      </c>
      <c r="C196" s="128" t="s">
        <v>841</v>
      </c>
      <c r="D196" s="128">
        <v>-578.19000000000005</v>
      </c>
      <c r="E196" s="95">
        <f>VLOOKUP(A196,'Balancete 2014'!A:D,4,0)</f>
        <v>-2586.6999999999998</v>
      </c>
      <c r="G196" s="93" t="s">
        <v>170</v>
      </c>
      <c r="H196" s="95">
        <v>-1725.72</v>
      </c>
      <c r="I196" s="99">
        <f t="shared" si="2"/>
        <v>2008.5099999999998</v>
      </c>
    </row>
    <row r="197" spans="1:11">
      <c r="A197" s="156" t="s">
        <v>344</v>
      </c>
      <c r="B197" s="119">
        <v>-8</v>
      </c>
      <c r="C197" s="128" t="s">
        <v>842</v>
      </c>
      <c r="D197" s="128">
        <v>-578.19000000000005</v>
      </c>
      <c r="E197" s="95">
        <f>VLOOKUP(A197,'Balancete 2014'!A:D,4,0)</f>
        <v>-2586.6999999999998</v>
      </c>
      <c r="H197" s="95">
        <v>-1725.72</v>
      </c>
      <c r="I197" s="99">
        <f>+D197-E197</f>
        <v>2008.5099999999998</v>
      </c>
    </row>
    <row r="198" spans="1:11">
      <c r="A198" s="156">
        <v>4</v>
      </c>
      <c r="B198" s="119">
        <v>-6</v>
      </c>
      <c r="C198" s="128" t="s">
        <v>345</v>
      </c>
      <c r="D198" s="128">
        <v>707626443.39999998</v>
      </c>
      <c r="E198" s="95">
        <f>VLOOKUP(A198,'Balancete 2014'!A:D,4,0)</f>
        <v>496468837.75</v>
      </c>
      <c r="H198" s="95" t="e">
        <v>#REF!</v>
      </c>
      <c r="I198" s="99" t="e">
        <f>+#REF!-E198</f>
        <v>#REF!</v>
      </c>
    </row>
    <row r="199" spans="1:11">
      <c r="A199" s="156" t="s">
        <v>158</v>
      </c>
      <c r="B199" s="119">
        <v>-1</v>
      </c>
      <c r="C199" s="128" t="s">
        <v>159</v>
      </c>
      <c r="D199" s="128">
        <v>707626443.39999998</v>
      </c>
      <c r="E199" s="95">
        <f>VLOOKUP(A199,'Balancete 2014'!A:D,4,0)</f>
        <v>496468837.75</v>
      </c>
      <c r="H199" s="95" t="e">
        <v>#REF!</v>
      </c>
      <c r="I199" s="99" t="e">
        <f>+#REF!-E199</f>
        <v>#REF!</v>
      </c>
    </row>
    <row r="200" spans="1:11">
      <c r="A200" s="156" t="s">
        <v>323</v>
      </c>
      <c r="B200" s="119">
        <v>-6</v>
      </c>
      <c r="C200" s="128" t="s">
        <v>308</v>
      </c>
      <c r="D200" s="128">
        <v>16458998.84</v>
      </c>
      <c r="E200" s="95">
        <f>VLOOKUP(A200,'Balancete 2014'!A:D,4,0)</f>
        <v>196736373.74000001</v>
      </c>
      <c r="H200" s="95" t="e">
        <v>#REF!</v>
      </c>
      <c r="I200" s="99" t="e">
        <f>+#REF!-E200</f>
        <v>#REF!</v>
      </c>
    </row>
    <row r="201" spans="1:11">
      <c r="A201" s="156" t="s">
        <v>309</v>
      </c>
      <c r="B201" s="119">
        <v>0</v>
      </c>
      <c r="C201" s="128" t="s">
        <v>310</v>
      </c>
      <c r="D201" s="128">
        <v>16458998.84</v>
      </c>
      <c r="E201" s="95">
        <f>VLOOKUP(A201,'Balancete 2014'!A:D,4,0)</f>
        <v>196736373.74000001</v>
      </c>
      <c r="G201" s="94">
        <v>208428602.47</v>
      </c>
      <c r="H201" s="95" t="e">
        <v>#REF!</v>
      </c>
      <c r="I201" s="99" t="e">
        <f>+#REF!-E201</f>
        <v>#REF!</v>
      </c>
    </row>
    <row r="202" spans="1:11">
      <c r="A202" s="156" t="s">
        <v>311</v>
      </c>
      <c r="B202" s="119">
        <v>-1</v>
      </c>
      <c r="C202" s="128" t="s">
        <v>987</v>
      </c>
      <c r="D202" s="128">
        <v>16458998.84</v>
      </c>
      <c r="E202" s="95">
        <f>VLOOKUP(A202,'Balancete 2014'!A:D,4,0)</f>
        <v>196736373.74000001</v>
      </c>
      <c r="G202" s="100">
        <f>+G201-E202</f>
        <v>11692228.729999989</v>
      </c>
      <c r="H202" s="95" t="e">
        <v>#REF!</v>
      </c>
      <c r="I202" s="99" t="e">
        <f>+#REF!-E202</f>
        <v>#REF!</v>
      </c>
    </row>
    <row r="203" spans="1:11">
      <c r="A203" s="156" t="s">
        <v>247</v>
      </c>
      <c r="B203" s="119">
        <v>0</v>
      </c>
      <c r="C203" s="128" t="s">
        <v>988</v>
      </c>
      <c r="D203" s="128">
        <v>16458998.84</v>
      </c>
      <c r="E203" s="95">
        <f>VLOOKUP(A203,'Balancete 2014'!A:D,4,0)</f>
        <v>196736373.74000001</v>
      </c>
      <c r="H203" s="95" t="e">
        <v>#REF!</v>
      </c>
      <c r="I203" s="99" t="e">
        <f>+#REF!-E203</f>
        <v>#REF!</v>
      </c>
    </row>
    <row r="204" spans="1:11">
      <c r="A204" s="156" t="s">
        <v>160</v>
      </c>
      <c r="B204" s="119">
        <v>-4</v>
      </c>
      <c r="C204" s="128" t="s">
        <v>161</v>
      </c>
      <c r="D204" s="128">
        <v>270556978.81999999</v>
      </c>
      <c r="E204" s="95">
        <f>VLOOKUP(A204,'Balancete 2014'!A:D,4,0)</f>
        <v>294025728.44999999</v>
      </c>
      <c r="H204" s="95" t="e">
        <v>#REF!</v>
      </c>
      <c r="I204" s="99" t="e">
        <f>+#REF!-E204</f>
        <v>#REF!</v>
      </c>
      <c r="J204" s="100"/>
      <c r="K204" s="100"/>
    </row>
    <row r="205" spans="1:11">
      <c r="A205" s="156" t="s">
        <v>324</v>
      </c>
      <c r="B205" s="119">
        <v>-8</v>
      </c>
      <c r="C205" s="128" t="s">
        <v>518</v>
      </c>
      <c r="D205" s="128">
        <v>6497213.3200000003</v>
      </c>
      <c r="E205" s="95">
        <f>VLOOKUP(A205,'Balancete 2014'!A:D,4,0)</f>
        <v>20106491.969999999</v>
      </c>
      <c r="F205" s="126">
        <f>+D205-E205</f>
        <v>-13609278.649999999</v>
      </c>
      <c r="G205" s="100">
        <f>+F205+F211+F218</f>
        <v>401235355.65000004</v>
      </c>
      <c r="H205" s="95" t="e">
        <v>#REF!</v>
      </c>
      <c r="I205" s="99" t="e">
        <f>+#REF!-E205</f>
        <v>#REF!</v>
      </c>
      <c r="J205" s="100"/>
      <c r="K205" s="100"/>
    </row>
    <row r="206" spans="1:11">
      <c r="A206" s="156" t="s">
        <v>162</v>
      </c>
      <c r="B206" s="119">
        <v>0</v>
      </c>
      <c r="C206" s="128" t="s">
        <v>843</v>
      </c>
      <c r="D206" s="128">
        <v>6497213.3200000003</v>
      </c>
      <c r="E206" s="95">
        <f>VLOOKUP(A206,'Balancete 2014'!A:D,4,0)</f>
        <v>20106491.969999999</v>
      </c>
      <c r="F206" s="95">
        <f t="shared" ref="F206:F233" si="3">+D206-E206</f>
        <v>-13609278.649999999</v>
      </c>
      <c r="H206" s="95" t="e">
        <v>#REF!</v>
      </c>
      <c r="I206" s="99" t="e">
        <f>+#REF!-E206</f>
        <v>#REF!</v>
      </c>
      <c r="J206" s="100"/>
      <c r="K206" s="100"/>
    </row>
    <row r="207" spans="1:11">
      <c r="A207" s="156" t="s">
        <v>301</v>
      </c>
      <c r="B207" s="119">
        <v>-8</v>
      </c>
      <c r="C207" s="128" t="s">
        <v>844</v>
      </c>
      <c r="D207" s="128">
        <v>5907551.6799999997</v>
      </c>
      <c r="E207" s="95">
        <f>VLOOKUP(A207,'Balancete 2014'!A:D,4,0)</f>
        <v>9204587.2200000007</v>
      </c>
      <c r="F207" s="95">
        <f t="shared" si="3"/>
        <v>-3297035.540000001</v>
      </c>
      <c r="H207" s="95" t="e">
        <v>#REF!</v>
      </c>
      <c r="I207" s="99" t="e">
        <f>+#REF!-E207</f>
        <v>#REF!</v>
      </c>
      <c r="J207" s="100"/>
      <c r="K207" s="100"/>
    </row>
    <row r="208" spans="1:11">
      <c r="A208" s="156" t="s">
        <v>163</v>
      </c>
      <c r="B208" s="119">
        <v>-6</v>
      </c>
      <c r="C208" s="128" t="s">
        <v>845</v>
      </c>
      <c r="D208" s="128">
        <v>60830.99</v>
      </c>
      <c r="E208" s="95">
        <f>VLOOKUP(A208,'Balancete 2014'!A:D,4,0)</f>
        <v>4405079.59</v>
      </c>
      <c r="F208" s="95">
        <f t="shared" si="3"/>
        <v>-4344248.5999999996</v>
      </c>
      <c r="H208" s="95" t="e">
        <v>#REF!</v>
      </c>
      <c r="I208" s="99" t="e">
        <f>+#REF!-E208</f>
        <v>#REF!</v>
      </c>
    </row>
    <row r="209" spans="1:9">
      <c r="A209" s="156" t="s">
        <v>164</v>
      </c>
      <c r="B209" s="119">
        <v>-4</v>
      </c>
      <c r="C209" s="128" t="s">
        <v>846</v>
      </c>
      <c r="D209" s="128">
        <v>450090.45</v>
      </c>
      <c r="E209" s="95">
        <f>VLOOKUP(A209,'Balancete 2014'!A:D,4,0)</f>
        <v>5337932.0199999996</v>
      </c>
      <c r="F209" s="95">
        <f t="shared" si="3"/>
        <v>-4887841.5699999994</v>
      </c>
      <c r="H209" s="95" t="e">
        <v>#REF!</v>
      </c>
      <c r="I209" s="99" t="e">
        <f>+#REF!-E209</f>
        <v>#REF!</v>
      </c>
    </row>
    <row r="210" spans="1:9">
      <c r="A210" s="156" t="s">
        <v>165</v>
      </c>
      <c r="B210" s="119">
        <v>-2</v>
      </c>
      <c r="C210" s="128" t="s">
        <v>847</v>
      </c>
      <c r="D210" s="128">
        <v>78740.2</v>
      </c>
      <c r="E210" s="95">
        <f>VLOOKUP(A210,'Balancete 2014'!A:D,4,0)</f>
        <v>1158893.1399999999</v>
      </c>
      <c r="F210" s="95">
        <f t="shared" si="3"/>
        <v>-1080152.94</v>
      </c>
      <c r="H210" s="95">
        <v>361640114.55000001</v>
      </c>
      <c r="I210" s="99">
        <f t="shared" ref="I210:I241" si="4">+D198-E210</f>
        <v>706467550.25999999</v>
      </c>
    </row>
    <row r="211" spans="1:9">
      <c r="A211" s="156" t="s">
        <v>524</v>
      </c>
      <c r="B211" s="119">
        <v>-1</v>
      </c>
      <c r="C211" s="128" t="s">
        <v>525</v>
      </c>
      <c r="D211" s="128">
        <v>14343.75</v>
      </c>
      <c r="E211" s="95">
        <f>VLOOKUP(A211,'Balancete 2014'!A:D,4,0)</f>
        <v>73439.63</v>
      </c>
      <c r="F211" s="126">
        <f t="shared" si="3"/>
        <v>-59095.880000000005</v>
      </c>
      <c r="H211" s="95">
        <v>361640114.55000001</v>
      </c>
      <c r="I211" s="99">
        <f t="shared" si="4"/>
        <v>707553003.76999998</v>
      </c>
    </row>
    <row r="212" spans="1:9">
      <c r="A212" s="156" t="s">
        <v>526</v>
      </c>
      <c r="B212" s="119">
        <v>-9</v>
      </c>
      <c r="C212" s="128" t="s">
        <v>848</v>
      </c>
      <c r="D212" s="128">
        <v>14343.75</v>
      </c>
      <c r="E212" s="95">
        <f>VLOOKUP(A212,'Balancete 2014'!A:D,4,0)</f>
        <v>73439.63</v>
      </c>
      <c r="F212" s="95">
        <f t="shared" si="3"/>
        <v>-59095.880000000005</v>
      </c>
      <c r="H212" s="95">
        <v>139192097.18000001</v>
      </c>
      <c r="I212" s="99">
        <f t="shared" si="4"/>
        <v>16385559.209999999</v>
      </c>
    </row>
    <row r="213" spans="1:9">
      <c r="A213" s="156" t="s">
        <v>528</v>
      </c>
      <c r="B213" s="119">
        <v>-5</v>
      </c>
      <c r="C213" s="128" t="s">
        <v>849</v>
      </c>
      <c r="D213" s="128">
        <v>14343.75</v>
      </c>
      <c r="E213" s="95">
        <f>VLOOKUP(A213,'Balancete 2014'!A:D,4,0)</f>
        <v>73439.63</v>
      </c>
      <c r="F213" s="95">
        <f t="shared" si="3"/>
        <v>-59095.880000000005</v>
      </c>
      <c r="H213" s="95">
        <v>139192097.18000001</v>
      </c>
      <c r="I213" s="99">
        <f t="shared" si="4"/>
        <v>16385559.209999999</v>
      </c>
    </row>
    <row r="214" spans="1:9">
      <c r="A214" s="156" t="s">
        <v>326</v>
      </c>
      <c r="B214" s="119">
        <v>-5</v>
      </c>
      <c r="C214" s="128" t="s">
        <v>530</v>
      </c>
      <c r="D214" s="128">
        <v>264045421.75</v>
      </c>
      <c r="E214" s="95">
        <f>VLOOKUP(A214,'Balancete 2014'!A:D,4,0)</f>
        <v>273845796.85000002</v>
      </c>
      <c r="F214" s="95">
        <f t="shared" si="3"/>
        <v>-9800375.1000000238</v>
      </c>
      <c r="H214" s="95">
        <v>139192097.18000001</v>
      </c>
      <c r="I214" s="99">
        <f t="shared" si="4"/>
        <v>-257386798.01000002</v>
      </c>
    </row>
    <row r="215" spans="1:9">
      <c r="A215" s="156" t="s">
        <v>166</v>
      </c>
      <c r="B215" s="119">
        <v>-1</v>
      </c>
      <c r="C215" s="128" t="s">
        <v>167</v>
      </c>
      <c r="D215" s="128">
        <v>264045421.75</v>
      </c>
      <c r="E215" s="95">
        <f>VLOOKUP(A215,'Balancete 2014'!A:D,4,0)</f>
        <v>273845796.85000002</v>
      </c>
      <c r="F215" s="95">
        <f t="shared" si="3"/>
        <v>-9800375.1000000238</v>
      </c>
      <c r="H215" s="95">
        <v>139192097.18000001</v>
      </c>
      <c r="I215" s="99">
        <f t="shared" si="4"/>
        <v>-257386798.01000002</v>
      </c>
    </row>
    <row r="216" spans="1:9">
      <c r="A216" s="156" t="s">
        <v>168</v>
      </c>
      <c r="B216" s="119">
        <v>0</v>
      </c>
      <c r="C216" s="128" t="s">
        <v>908</v>
      </c>
      <c r="D216" s="128">
        <v>203144782.16</v>
      </c>
      <c r="E216" s="95">
        <f>VLOOKUP(A216,'Balancete 2014'!A:D,4,0)</f>
        <v>210684754.06999999</v>
      </c>
      <c r="F216" s="95">
        <f t="shared" si="3"/>
        <v>-7539971.9099999964</v>
      </c>
      <c r="H216" s="95">
        <v>219850479.72999999</v>
      </c>
      <c r="I216" s="99">
        <f t="shared" si="4"/>
        <v>59872224.75</v>
      </c>
    </row>
    <row r="217" spans="1:9">
      <c r="A217" s="156" t="s">
        <v>169</v>
      </c>
      <c r="B217" s="119">
        <v>-8</v>
      </c>
      <c r="C217" s="128" t="s">
        <v>909</v>
      </c>
      <c r="D217" s="128">
        <v>60900639.590000004</v>
      </c>
      <c r="E217" s="95">
        <f>VLOOKUP(A217,'Balancete 2014'!A:D,4,0)</f>
        <v>63161042.780000001</v>
      </c>
      <c r="F217" s="95">
        <f t="shared" si="3"/>
        <v>-2260403.1899999976</v>
      </c>
      <c r="H217" s="95">
        <v>9649486.3900000006</v>
      </c>
      <c r="I217" s="99">
        <f t="shared" si="4"/>
        <v>-56663829.460000001</v>
      </c>
    </row>
    <row r="218" spans="1:9">
      <c r="A218" s="156" t="s">
        <v>325</v>
      </c>
      <c r="B218" s="119">
        <v>-5</v>
      </c>
      <c r="C218" s="128" t="s">
        <v>170</v>
      </c>
      <c r="D218" s="128">
        <v>420610465.74000001</v>
      </c>
      <c r="E218" s="95">
        <f>VLOOKUP(A218,'Balancete 2014'!A:D,4,0)</f>
        <v>5706735.5599999996</v>
      </c>
      <c r="F218" s="126">
        <f>+D218-E218</f>
        <v>414903730.18000001</v>
      </c>
      <c r="G218" s="100">
        <f>-F205-F211+F218</f>
        <v>428572104.70999998</v>
      </c>
      <c r="H218" s="95">
        <v>9649486.3900000006</v>
      </c>
      <c r="I218" s="99">
        <f t="shared" si="4"/>
        <v>790477.76000000071</v>
      </c>
    </row>
    <row r="219" spans="1:9">
      <c r="A219" s="156" t="s">
        <v>171</v>
      </c>
      <c r="B219" s="119">
        <v>-6</v>
      </c>
      <c r="C219" s="128" t="s">
        <v>172</v>
      </c>
      <c r="D219" s="128">
        <v>754994.43</v>
      </c>
      <c r="E219" s="95">
        <f>VLOOKUP(A219,'Balancete 2014'!A:D,4,0)</f>
        <v>428928.08</v>
      </c>
      <c r="F219" s="95">
        <f t="shared" si="3"/>
        <v>326066.35000000003</v>
      </c>
      <c r="H219" s="95">
        <v>2804391.71</v>
      </c>
      <c r="I219" s="99">
        <f t="shared" si="4"/>
        <v>5478623.5999999996</v>
      </c>
    </row>
    <row r="220" spans="1:9">
      <c r="A220" s="156" t="s">
        <v>173</v>
      </c>
      <c r="B220" s="119">
        <v>-8</v>
      </c>
      <c r="C220" s="128" t="s">
        <v>850</v>
      </c>
      <c r="D220" s="128">
        <v>754994.43</v>
      </c>
      <c r="E220" s="95">
        <f>VLOOKUP(A220,'Balancete 2014'!A:D,4,0)</f>
        <v>428928.08</v>
      </c>
      <c r="F220" s="95">
        <f t="shared" si="3"/>
        <v>326066.35000000003</v>
      </c>
      <c r="H220" s="95">
        <v>3319298.04</v>
      </c>
      <c r="I220" s="99">
        <f t="shared" si="4"/>
        <v>-368097.09</v>
      </c>
    </row>
    <row r="221" spans="1:9">
      <c r="A221" s="156" t="s">
        <v>534</v>
      </c>
      <c r="B221" s="119">
        <v>-6</v>
      </c>
      <c r="C221" s="128" t="s">
        <v>851</v>
      </c>
      <c r="D221" s="128">
        <v>150327.41</v>
      </c>
      <c r="E221" s="95" t="e">
        <f>VLOOKUP(A221,'Balancete 2014'!A:D,4,0)</f>
        <v>#N/A</v>
      </c>
      <c r="H221" s="95">
        <v>2896870.75</v>
      </c>
      <c r="I221" s="99" t="e">
        <f t="shared" si="4"/>
        <v>#N/A</v>
      </c>
    </row>
    <row r="222" spans="1:9">
      <c r="A222" s="156" t="s">
        <v>536</v>
      </c>
      <c r="B222" s="119">
        <v>-4</v>
      </c>
      <c r="C222" s="128" t="s">
        <v>852</v>
      </c>
      <c r="D222" s="128">
        <v>18039.29</v>
      </c>
      <c r="E222" s="95" t="e">
        <f>VLOOKUP(A222,'Balancete 2014'!A:D,4,0)</f>
        <v>#N/A</v>
      </c>
      <c r="H222" s="95">
        <v>628925.89</v>
      </c>
      <c r="I222" s="99" t="e">
        <f t="shared" si="4"/>
        <v>#N/A</v>
      </c>
    </row>
    <row r="223" spans="1:9">
      <c r="A223" s="156" t="s">
        <v>538</v>
      </c>
      <c r="B223" s="119">
        <v>-2</v>
      </c>
      <c r="C223" s="128" t="s">
        <v>853</v>
      </c>
      <c r="D223" s="128">
        <v>12026.19</v>
      </c>
      <c r="E223" s="95" t="e">
        <f>VLOOKUP(A223,'Balancete 2014'!A:D,4,0)</f>
        <v>#N/A</v>
      </c>
      <c r="H223" s="95" t="e">
        <v>#N/A</v>
      </c>
      <c r="I223" s="99" t="e">
        <f t="shared" si="4"/>
        <v>#N/A</v>
      </c>
    </row>
    <row r="224" spans="1:9">
      <c r="A224" s="156" t="s">
        <v>540</v>
      </c>
      <c r="B224" s="119">
        <v>0</v>
      </c>
      <c r="C224" s="128" t="s">
        <v>854</v>
      </c>
      <c r="D224" s="128">
        <v>30065.48</v>
      </c>
      <c r="E224" s="95" t="e">
        <f>VLOOKUP(A224,'Balancete 2014'!A:D,4,0)</f>
        <v>#N/A</v>
      </c>
      <c r="H224" s="95" t="e">
        <v>#N/A</v>
      </c>
      <c r="I224" s="99" t="e">
        <f t="shared" si="4"/>
        <v>#N/A</v>
      </c>
    </row>
    <row r="225" spans="1:9">
      <c r="A225" s="156" t="s">
        <v>174</v>
      </c>
      <c r="B225" s="119">
        <v>-9</v>
      </c>
      <c r="C225" s="128" t="s">
        <v>855</v>
      </c>
      <c r="D225" s="128">
        <v>381563.02</v>
      </c>
      <c r="E225" s="95">
        <f>VLOOKUP(A225,'Balancete 2014'!A:D,4,0)</f>
        <v>316779.36</v>
      </c>
      <c r="F225" s="95">
        <f t="shared" si="3"/>
        <v>64783.660000000033</v>
      </c>
      <c r="H225" s="95" t="e">
        <v>#N/A</v>
      </c>
      <c r="I225" s="99">
        <f t="shared" si="4"/>
        <v>-302435.61</v>
      </c>
    </row>
    <row r="226" spans="1:9">
      <c r="A226" s="156" t="s">
        <v>175</v>
      </c>
      <c r="B226" s="119">
        <v>-7</v>
      </c>
      <c r="C226" s="128" t="s">
        <v>856</v>
      </c>
      <c r="D226" s="128">
        <v>122733.11</v>
      </c>
      <c r="E226" s="95">
        <f>VLOOKUP(A226,'Balancete 2014'!A:D,4,0)</f>
        <v>87985.26</v>
      </c>
      <c r="F226" s="95">
        <f t="shared" si="3"/>
        <v>34747.850000000006</v>
      </c>
      <c r="H226" s="95">
        <v>210200993.34</v>
      </c>
      <c r="I226" s="99">
        <f t="shared" si="4"/>
        <v>263957436.49000001</v>
      </c>
    </row>
    <row r="227" spans="1:9">
      <c r="A227" s="156" t="s">
        <v>176</v>
      </c>
      <c r="B227" s="119">
        <v>-5</v>
      </c>
      <c r="C227" s="128" t="s">
        <v>857</v>
      </c>
      <c r="D227" s="128">
        <v>40239.93</v>
      </c>
      <c r="E227" s="95">
        <f>VLOOKUP(A227,'Balancete 2014'!A:D,4,0)</f>
        <v>24163.46</v>
      </c>
      <c r="F227" s="95">
        <f t="shared" si="3"/>
        <v>16076.470000000001</v>
      </c>
      <c r="H227" s="95">
        <v>210200993.34</v>
      </c>
      <c r="I227" s="99">
        <f t="shared" si="4"/>
        <v>264021258.28999999</v>
      </c>
    </row>
    <row r="228" spans="1:9">
      <c r="A228" s="156" t="s">
        <v>545</v>
      </c>
      <c r="B228" s="119">
        <v>-7</v>
      </c>
      <c r="C228" s="128" t="s">
        <v>546</v>
      </c>
      <c r="D228" s="128">
        <v>5401650.9000000004</v>
      </c>
      <c r="E228" s="95">
        <f>VLOOKUP(A228,'Balancete 2014'!A:D,4,0)</f>
        <v>2013542.19</v>
      </c>
      <c r="F228" s="126">
        <f t="shared" si="3"/>
        <v>3388108.7100000004</v>
      </c>
      <c r="H228" s="95">
        <v>161719278.13</v>
      </c>
      <c r="I228" s="99">
        <f t="shared" si="4"/>
        <v>201131239.97</v>
      </c>
    </row>
    <row r="229" spans="1:9">
      <c r="A229" s="156" t="s">
        <v>547</v>
      </c>
      <c r="B229" s="119">
        <v>-2</v>
      </c>
      <c r="C229" s="128" t="s">
        <v>546</v>
      </c>
      <c r="D229" s="128">
        <v>5401650.9000000004</v>
      </c>
      <c r="E229" s="95">
        <f>VLOOKUP(A229,'Balancete 2014'!A:D,4,0)</f>
        <v>2013542.19</v>
      </c>
      <c r="F229" s="95">
        <f t="shared" si="3"/>
        <v>3388108.7100000004</v>
      </c>
      <c r="H229" s="95">
        <v>48481715.210000001</v>
      </c>
      <c r="I229" s="99">
        <f t="shared" si="4"/>
        <v>58887097.400000006</v>
      </c>
    </row>
    <row r="230" spans="1:9">
      <c r="A230" s="156" t="s">
        <v>548</v>
      </c>
      <c r="B230" s="119">
        <v>-7</v>
      </c>
      <c r="C230" s="128" t="s">
        <v>910</v>
      </c>
      <c r="D230" s="128">
        <v>5401650.9000000004</v>
      </c>
      <c r="E230" s="95">
        <f>VLOOKUP(A230,'Balancete 2014'!A:D,4,0)</f>
        <v>2013542.19</v>
      </c>
      <c r="F230" s="95">
        <f t="shared" si="3"/>
        <v>3388108.7100000004</v>
      </c>
      <c r="H230" s="95">
        <v>2597537.64</v>
      </c>
      <c r="I230" s="99">
        <f t="shared" si="4"/>
        <v>418596923.55000001</v>
      </c>
    </row>
    <row r="231" spans="1:9">
      <c r="A231" s="156" t="s">
        <v>177</v>
      </c>
      <c r="B231" s="119">
        <v>-7</v>
      </c>
      <c r="C231" s="128" t="s">
        <v>178</v>
      </c>
      <c r="D231" s="128">
        <v>414453820.41000003</v>
      </c>
      <c r="E231" s="95">
        <f>VLOOKUP(A231,'Balancete 2014'!A:D,4,0)</f>
        <v>3264265.29</v>
      </c>
      <c r="F231" s="95">
        <f t="shared" si="3"/>
        <v>411189555.12</v>
      </c>
      <c r="H231" s="95">
        <v>369395.76</v>
      </c>
      <c r="I231" s="99">
        <f t="shared" si="4"/>
        <v>-2509270.86</v>
      </c>
    </row>
    <row r="232" spans="1:9">
      <c r="A232" s="156" t="s">
        <v>179</v>
      </c>
      <c r="B232" s="119">
        <v>0</v>
      </c>
      <c r="C232" s="128" t="s">
        <v>858</v>
      </c>
      <c r="D232" s="128">
        <v>414453820.41000003</v>
      </c>
      <c r="E232" s="95">
        <f>VLOOKUP(A232,'Balancete 2014'!A:D,4,0)</f>
        <v>3264265.29</v>
      </c>
      <c r="F232" s="95">
        <f t="shared" si="3"/>
        <v>411189555.12</v>
      </c>
      <c r="H232" s="95">
        <v>369395.76</v>
      </c>
      <c r="I232" s="99">
        <f t="shared" si="4"/>
        <v>-2509270.86</v>
      </c>
    </row>
    <row r="233" spans="1:9">
      <c r="A233" s="156" t="s">
        <v>180</v>
      </c>
      <c r="B233" s="119">
        <v>-9</v>
      </c>
      <c r="C233" s="128" t="s">
        <v>859</v>
      </c>
      <c r="D233" s="128">
        <v>158144.85</v>
      </c>
      <c r="E233" s="95">
        <f>VLOOKUP(A233,'Balancete 2014'!A:D,4,0)</f>
        <v>242178.11</v>
      </c>
      <c r="F233" s="95">
        <f t="shared" si="3"/>
        <v>-84033.25999999998</v>
      </c>
      <c r="H233" s="95" t="e">
        <v>#N/A</v>
      </c>
      <c r="I233" s="99">
        <f t="shared" si="4"/>
        <v>-91850.699999999983</v>
      </c>
    </row>
    <row r="234" spans="1:9">
      <c r="A234" s="156" t="s">
        <v>181</v>
      </c>
      <c r="B234" s="119">
        <v>-7</v>
      </c>
      <c r="C234" s="128" t="s">
        <v>860</v>
      </c>
      <c r="D234" s="128">
        <v>603309.75</v>
      </c>
      <c r="E234" s="95">
        <f>VLOOKUP(A234,'Balancete 2014'!A:D,4,0)</f>
        <v>490420.18</v>
      </c>
      <c r="H234" s="95" t="e">
        <v>#N/A</v>
      </c>
      <c r="I234" s="99">
        <f t="shared" si="4"/>
        <v>-472380.89</v>
      </c>
    </row>
    <row r="235" spans="1:9">
      <c r="A235" s="156" t="s">
        <v>182</v>
      </c>
      <c r="B235" s="119">
        <v>-5</v>
      </c>
      <c r="C235" s="128" t="s">
        <v>861</v>
      </c>
      <c r="D235" s="128">
        <v>257232.21</v>
      </c>
      <c r="E235" s="95">
        <f>VLOOKUP(A235,'Balancete 2014'!A:D,4,0)</f>
        <v>31248.01</v>
      </c>
      <c r="H235" s="95" t="e">
        <v>#N/A</v>
      </c>
      <c r="I235" s="99">
        <f t="shared" si="4"/>
        <v>-19221.82</v>
      </c>
    </row>
    <row r="236" spans="1:9">
      <c r="A236" s="156" t="s">
        <v>183</v>
      </c>
      <c r="B236" s="119">
        <v>-1</v>
      </c>
      <c r="C236" s="128" t="s">
        <v>862</v>
      </c>
      <c r="D236" s="128">
        <v>3368739.93</v>
      </c>
      <c r="E236" s="95">
        <f>VLOOKUP(A236,'Balancete 2014'!A:D,4,0)</f>
        <v>2500418.9900000002</v>
      </c>
      <c r="H236" s="95" t="e">
        <v>#N/A</v>
      </c>
      <c r="I236" s="99">
        <f t="shared" si="4"/>
        <v>-2470353.5100000002</v>
      </c>
    </row>
    <row r="237" spans="1:9">
      <c r="A237" s="156" t="s">
        <v>778</v>
      </c>
      <c r="B237" s="119">
        <v>0</v>
      </c>
      <c r="C237" s="128" t="s">
        <v>779</v>
      </c>
      <c r="D237" s="128">
        <v>374491746.10000002</v>
      </c>
      <c r="E237" s="95" t="e">
        <f>VLOOKUP(A237,'Balancete 2014'!A:D,4,0)</f>
        <v>#N/A</v>
      </c>
      <c r="F237" s="95">
        <f>+D237+D238</f>
        <v>410066393.67000002</v>
      </c>
      <c r="H237" s="95">
        <v>285988.15000000002</v>
      </c>
      <c r="I237" s="99" t="e">
        <f t="shared" si="4"/>
        <v>#N/A</v>
      </c>
    </row>
    <row r="238" spans="1:9">
      <c r="A238" s="156" t="s">
        <v>780</v>
      </c>
      <c r="B238" s="119">
        <v>-8</v>
      </c>
      <c r="C238" s="128" t="s">
        <v>781</v>
      </c>
      <c r="D238" s="128">
        <v>35574647.57</v>
      </c>
      <c r="E238" s="95" t="e">
        <f>VLOOKUP(A238,'Balancete 2014'!A:D,4,0)</f>
        <v>#N/A</v>
      </c>
      <c r="F238" s="133">
        <f>+F237/1000</f>
        <v>410066.39367000002</v>
      </c>
      <c r="H238" s="95">
        <v>59244.15</v>
      </c>
      <c r="I238" s="99" t="e">
        <f t="shared" si="4"/>
        <v>#N/A</v>
      </c>
    </row>
    <row r="239" spans="1:9">
      <c r="A239" s="156">
        <v>6</v>
      </c>
      <c r="B239" s="119">
        <v>-9</v>
      </c>
      <c r="C239" s="128" t="s">
        <v>184</v>
      </c>
      <c r="D239" s="128">
        <v>1201232664.8199999</v>
      </c>
      <c r="E239" s="95">
        <f>VLOOKUP(A239,'Balancete 2014'!A:D,4,0)</f>
        <v>4858695773.04</v>
      </c>
      <c r="F239" s="95">
        <v>-420610</v>
      </c>
      <c r="H239" s="95">
        <v>24163.46</v>
      </c>
      <c r="I239" s="99">
        <f t="shared" si="4"/>
        <v>-4858655533.1099997</v>
      </c>
    </row>
    <row r="240" spans="1:9">
      <c r="A240" s="156" t="s">
        <v>185</v>
      </c>
      <c r="B240" s="119">
        <v>-6</v>
      </c>
      <c r="C240" s="128" t="s">
        <v>184</v>
      </c>
      <c r="D240" s="128">
        <v>1201232664.8199999</v>
      </c>
      <c r="E240" s="95">
        <f>VLOOKUP(A240,'Balancete 2014'!A:D,4,0)</f>
        <v>4858695773.04</v>
      </c>
      <c r="F240" s="95">
        <f>+F239+F238</f>
        <v>-10543.606329999981</v>
      </c>
      <c r="H240" s="95" t="e">
        <v>#N/A</v>
      </c>
      <c r="I240" s="99">
        <f t="shared" si="4"/>
        <v>-4853294122.1400003</v>
      </c>
    </row>
    <row r="241" spans="1:11">
      <c r="A241" s="156" t="s">
        <v>186</v>
      </c>
      <c r="B241" s="119">
        <v>-4</v>
      </c>
      <c r="C241" s="128" t="s">
        <v>187</v>
      </c>
      <c r="D241" s="128">
        <v>2415610459.4299998</v>
      </c>
      <c r="E241" s="95">
        <f>VLOOKUP(A241,'Balancete 2014'!A:D,4,0)</f>
        <v>4000000000</v>
      </c>
      <c r="H241" s="95" t="e">
        <v>#N/A</v>
      </c>
      <c r="I241" s="99">
        <f t="shared" si="4"/>
        <v>-3994598349.0999999</v>
      </c>
    </row>
    <row r="242" spans="1:11">
      <c r="A242" s="156" t="s">
        <v>327</v>
      </c>
      <c r="B242" s="119">
        <v>-8</v>
      </c>
      <c r="C242" s="128" t="s">
        <v>188</v>
      </c>
      <c r="D242" s="128">
        <v>4000000000</v>
      </c>
      <c r="E242" s="95">
        <f>VLOOKUP(A242,'Balancete 2014'!A:D,4,0)</f>
        <v>4000000000</v>
      </c>
      <c r="H242" s="95" t="e">
        <v>#N/A</v>
      </c>
      <c r="I242" s="99">
        <f t="shared" ref="I242:I270" si="5">+D230-E242</f>
        <v>-3994598349.0999999</v>
      </c>
    </row>
    <row r="243" spans="1:11">
      <c r="A243" s="156" t="s">
        <v>189</v>
      </c>
      <c r="B243" s="119">
        <v>-3</v>
      </c>
      <c r="C243" s="128" t="s">
        <v>190</v>
      </c>
      <c r="D243" s="128">
        <v>4000000000</v>
      </c>
      <c r="E243" s="95">
        <f>VLOOKUP(A243,'Balancete 2014'!A:D,4,0)</f>
        <v>4000000000</v>
      </c>
      <c r="H243" s="95">
        <v>2228141.88</v>
      </c>
      <c r="I243" s="99">
        <f t="shared" si="5"/>
        <v>-3585546179.5900002</v>
      </c>
    </row>
    <row r="244" spans="1:11">
      <c r="A244" s="156" t="s">
        <v>191</v>
      </c>
      <c r="B244" s="119">
        <v>-3</v>
      </c>
      <c r="C244" s="128" t="s">
        <v>188</v>
      </c>
      <c r="D244" s="128">
        <v>4000000000</v>
      </c>
      <c r="E244" s="95">
        <f>VLOOKUP(A244,'Balancete 2014'!A:D,4,0)</f>
        <v>4000000000</v>
      </c>
      <c r="H244" s="95">
        <v>2228141.88</v>
      </c>
      <c r="I244" s="99">
        <f t="shared" si="5"/>
        <v>-3585546179.5900002</v>
      </c>
    </row>
    <row r="245" spans="1:11">
      <c r="A245" s="156" t="s">
        <v>328</v>
      </c>
      <c r="B245" s="119">
        <v>-2</v>
      </c>
      <c r="C245" s="128" t="s">
        <v>192</v>
      </c>
      <c r="D245" s="128">
        <v>-2798767335.1799998</v>
      </c>
      <c r="E245" s="95" t="e">
        <f>VLOOKUP(A245,'Balancete 2014'!A:D,4,0)</f>
        <v>#N/A</v>
      </c>
      <c r="H245" s="95">
        <v>212083.94</v>
      </c>
      <c r="I245" s="99" t="e">
        <f t="shared" si="5"/>
        <v>#N/A</v>
      </c>
    </row>
    <row r="246" spans="1:11">
      <c r="A246" s="156" t="s">
        <v>193</v>
      </c>
      <c r="B246" s="119">
        <v>-8</v>
      </c>
      <c r="C246" s="128" t="s">
        <v>194</v>
      </c>
      <c r="D246" s="128">
        <v>-2798767335.1799998</v>
      </c>
      <c r="E246" s="95" t="e">
        <f>VLOOKUP(A246,'Balancete 2014'!A:D,4,0)</f>
        <v>#N/A</v>
      </c>
      <c r="H246" s="95">
        <v>402106.93</v>
      </c>
      <c r="I246" s="99" t="e">
        <f t="shared" si="5"/>
        <v>#N/A</v>
      </c>
    </row>
    <row r="247" spans="1:11">
      <c r="A247" s="156" t="s">
        <v>195</v>
      </c>
      <c r="B247" s="119">
        <v>-2</v>
      </c>
      <c r="C247" s="128" t="s">
        <v>911</v>
      </c>
      <c r="D247" s="128">
        <v>-2798767335.1799998</v>
      </c>
      <c r="E247" s="95" t="e">
        <f>VLOOKUP(A247,'Balancete 2014'!A:D,4,0)</f>
        <v>#N/A</v>
      </c>
      <c r="H247" s="95">
        <v>22394.38</v>
      </c>
      <c r="I247" s="99" t="e">
        <f t="shared" si="5"/>
        <v>#N/A</v>
      </c>
    </row>
    <row r="248" spans="1:11">
      <c r="A248" s="156" t="s">
        <v>330</v>
      </c>
      <c r="B248" s="119">
        <v>-7</v>
      </c>
      <c r="C248" s="128" t="s">
        <v>196</v>
      </c>
      <c r="D248" s="128">
        <v>196977842.34</v>
      </c>
      <c r="E248" s="95">
        <f>VLOOKUP(A248,'Balancete 2014'!A:D,4,0)</f>
        <v>1358513588.05</v>
      </c>
      <c r="H248" s="95">
        <v>1591556.63</v>
      </c>
      <c r="I248" s="99">
        <f t="shared" si="5"/>
        <v>-1355144848.1199999</v>
      </c>
      <c r="J248" s="100"/>
    </row>
    <row r="249" spans="1:11">
      <c r="A249" s="156" t="s">
        <v>197</v>
      </c>
      <c r="B249" s="119">
        <v>0</v>
      </c>
      <c r="C249" s="128" t="s">
        <v>198</v>
      </c>
      <c r="D249" s="128">
        <v>147600845.81999999</v>
      </c>
      <c r="E249" s="95">
        <f>VLOOKUP(A249,'Balancete 2014'!A:D,4,0)</f>
        <v>144135793.43000001</v>
      </c>
      <c r="H249" s="95" t="e">
        <v>#N/A</v>
      </c>
      <c r="I249" s="99">
        <f t="shared" si="5"/>
        <v>230355952.67000002</v>
      </c>
    </row>
    <row r="250" spans="1:11">
      <c r="A250" s="156" t="s">
        <v>199</v>
      </c>
      <c r="B250" s="119">
        <v>-1</v>
      </c>
      <c r="C250" s="128" t="s">
        <v>198</v>
      </c>
      <c r="D250" s="128">
        <v>147600845.81999999</v>
      </c>
      <c r="E250" s="95">
        <f>VLOOKUP(A250,'Balancete 2014'!A:D,4,0)</f>
        <v>144135793.43000001</v>
      </c>
      <c r="F250" s="95">
        <f>+D239-D267</f>
        <v>1279090628.1900001</v>
      </c>
      <c r="H250" s="95" t="e">
        <v>#N/A</v>
      </c>
      <c r="I250" s="99">
        <f t="shared" si="5"/>
        <v>-108561145.86000001</v>
      </c>
    </row>
    <row r="251" spans="1:11">
      <c r="A251" s="156" t="s">
        <v>200</v>
      </c>
      <c r="B251" s="119">
        <v>0</v>
      </c>
      <c r="C251" s="128" t="s">
        <v>198</v>
      </c>
      <c r="D251" s="128">
        <v>147600845.81999999</v>
      </c>
      <c r="E251" s="95">
        <f>VLOOKUP(A251,'Balancete 2014'!A:D,4,0)</f>
        <v>144135793.43000001</v>
      </c>
      <c r="H251" s="95">
        <v>3736089610.29</v>
      </c>
      <c r="I251" s="99">
        <f t="shared" si="5"/>
        <v>1057096871.3899999</v>
      </c>
    </row>
    <row r="252" spans="1:11">
      <c r="A252" s="156" t="s">
        <v>201</v>
      </c>
      <c r="B252" s="119">
        <v>-4</v>
      </c>
      <c r="C252" s="128" t="s">
        <v>202</v>
      </c>
      <c r="D252" s="128">
        <f>49376996.52+1214377794.62</f>
        <v>1263754791.1399999</v>
      </c>
      <c r="E252" s="95">
        <f>VLOOKUP(A252,'Balancete 2014'!A:D,4,0)</f>
        <v>1214377794.6199999</v>
      </c>
      <c r="F252" s="95" t="s">
        <v>938</v>
      </c>
      <c r="H252" s="95">
        <v>3736089610.29</v>
      </c>
      <c r="I252" s="99">
        <f t="shared" si="5"/>
        <v>-13145129.799999952</v>
      </c>
    </row>
    <row r="253" spans="1:11">
      <c r="A253" s="156" t="s">
        <v>203</v>
      </c>
      <c r="B253" s="119">
        <v>0</v>
      </c>
      <c r="C253" s="128" t="s">
        <v>202</v>
      </c>
      <c r="D253" s="128">
        <f>49376996.52+1214377794.62</f>
        <v>1263754791.1399999</v>
      </c>
      <c r="E253" s="95">
        <f>VLOOKUP(A253,'Balancete 2014'!A:D,4,0)</f>
        <v>1214377794.6199999</v>
      </c>
      <c r="F253" s="95" t="s">
        <v>938</v>
      </c>
      <c r="H253" s="95">
        <v>3219334938.7199998</v>
      </c>
      <c r="I253" s="99">
        <f t="shared" si="5"/>
        <v>1201232664.8099999</v>
      </c>
      <c r="K253" s="100"/>
    </row>
    <row r="254" spans="1:11">
      <c r="A254" s="156" t="s">
        <v>204</v>
      </c>
      <c r="B254" s="119">
        <v>-4</v>
      </c>
      <c r="C254" s="128" t="s">
        <v>912</v>
      </c>
      <c r="D254" s="128">
        <f>49376996.52+1214377794.62</f>
        <v>1263754791.1399999</v>
      </c>
      <c r="E254" s="95">
        <f>VLOOKUP(A254,'Balancete 2014'!A:D,4,0)</f>
        <v>1214377794.6199999</v>
      </c>
      <c r="F254" s="95" t="s">
        <v>938</v>
      </c>
      <c r="H254" s="95">
        <v>4000000000</v>
      </c>
      <c r="I254" s="99">
        <f t="shared" si="5"/>
        <v>2785622205.3800001</v>
      </c>
      <c r="K254" s="94"/>
    </row>
    <row r="255" spans="1:11">
      <c r="A255" s="156" t="s">
        <v>329</v>
      </c>
      <c r="B255" s="119">
        <v>-5</v>
      </c>
      <c r="C255" s="128" t="s">
        <v>205</v>
      </c>
      <c r="D255" s="128">
        <v>318888902.85000002</v>
      </c>
      <c r="E255" s="95">
        <f>VLOOKUP(A255,'Balancete 2014'!A:D,4,0)</f>
        <v>328378604.33999997</v>
      </c>
      <c r="F255" s="95">
        <f>+D255-E255</f>
        <v>-9489701.4899999499</v>
      </c>
      <c r="H255" s="95">
        <v>4000000000</v>
      </c>
      <c r="I255" s="99">
        <f t="shared" si="5"/>
        <v>3671621395.6599998</v>
      </c>
    </row>
    <row r="256" spans="1:11">
      <c r="A256" s="156" t="s">
        <v>206</v>
      </c>
      <c r="B256" s="119">
        <v>-9</v>
      </c>
      <c r="C256" s="128" t="s">
        <v>207</v>
      </c>
      <c r="D256" s="128">
        <v>304538972.32999998</v>
      </c>
      <c r="E256" s="95">
        <f>VLOOKUP(A256,'Balancete 2014'!A:D,4,0)</f>
        <v>317398267.26999998</v>
      </c>
      <c r="F256" s="95">
        <f t="shared" ref="F256:F261" si="6">+D256-E256</f>
        <v>-12859294.939999998</v>
      </c>
      <c r="H256" s="95">
        <v>4000000000</v>
      </c>
      <c r="I256" s="99">
        <f t="shared" si="5"/>
        <v>3682601732.73</v>
      </c>
    </row>
    <row r="257" spans="1:10">
      <c r="A257" s="156" t="s">
        <v>208</v>
      </c>
      <c r="B257" s="119">
        <v>-4</v>
      </c>
      <c r="C257" s="128" t="s">
        <v>209</v>
      </c>
      <c r="D257" s="128">
        <v>393734360.75</v>
      </c>
      <c r="E257" s="126">
        <f>VLOOKUP(A257,'Balancete 2014'!A:D,4,0)</f>
        <v>408370776.81</v>
      </c>
      <c r="F257" s="95">
        <f t="shared" si="6"/>
        <v>-14636416.060000002</v>
      </c>
      <c r="H257" s="95">
        <v>-780665061.27999997</v>
      </c>
      <c r="I257" s="99">
        <f t="shared" si="5"/>
        <v>-3207138111.9899998</v>
      </c>
    </row>
    <row r="258" spans="1:10">
      <c r="A258" s="156" t="s">
        <v>210</v>
      </c>
      <c r="B258" s="119">
        <v>-9</v>
      </c>
      <c r="C258" s="128" t="s">
        <v>913</v>
      </c>
      <c r="D258" s="128">
        <v>657374339.66999996</v>
      </c>
      <c r="E258" s="126">
        <f>VLOOKUP(A258,'Balancete 2014'!A:D,4,0)</f>
        <v>681811130.83000004</v>
      </c>
      <c r="F258" s="95">
        <f t="shared" si="6"/>
        <v>-24436791.160000086</v>
      </c>
      <c r="H258" s="95">
        <v>-780665061.27999997</v>
      </c>
      <c r="I258" s="99">
        <f t="shared" si="5"/>
        <v>-3480578466.0099998</v>
      </c>
    </row>
    <row r="259" spans="1:10">
      <c r="A259" s="156" t="s">
        <v>211</v>
      </c>
      <c r="B259" s="119">
        <v>-7</v>
      </c>
      <c r="C259" s="128" t="s">
        <v>914</v>
      </c>
      <c r="D259" s="128">
        <v>-263639978.91999999</v>
      </c>
      <c r="E259" s="126">
        <f>VLOOKUP(A259,'Balancete 2014'!A:D,4,0)</f>
        <v>-273440354.01999998</v>
      </c>
      <c r="F259" s="95">
        <f>+D259-E259</f>
        <v>9800375.099999994</v>
      </c>
      <c r="H259" s="95">
        <v>-780665061.27999997</v>
      </c>
      <c r="I259" s="99">
        <f t="shared" si="5"/>
        <v>-2525326981.1599998</v>
      </c>
    </row>
    <row r="260" spans="1:10">
      <c r="A260" s="156" t="s">
        <v>213</v>
      </c>
      <c r="B260" s="119">
        <v>0</v>
      </c>
      <c r="C260" s="128" t="s">
        <v>863</v>
      </c>
      <c r="D260" s="128">
        <v>-89195388.420000002</v>
      </c>
      <c r="E260" s="95">
        <f>VLOOKUP(A260,'Balancete 2014'!A:D,4,0)</f>
        <v>-90972509.540000007</v>
      </c>
      <c r="F260" s="95">
        <f t="shared" si="6"/>
        <v>1777121.1200000048</v>
      </c>
      <c r="H260" s="95">
        <v>907551344.15999997</v>
      </c>
      <c r="I260" s="99">
        <f t="shared" si="5"/>
        <v>287950351.88</v>
      </c>
    </row>
    <row r="261" spans="1:10">
      <c r="A261" s="156" t="s">
        <v>214</v>
      </c>
      <c r="B261" s="119">
        <v>-1</v>
      </c>
      <c r="C261" s="128" t="s">
        <v>864</v>
      </c>
      <c r="D261" s="128">
        <v>-89195388.420000002</v>
      </c>
      <c r="E261" s="95">
        <f>VLOOKUP(A261,'Balancete 2014'!A:D,4,0)</f>
        <v>-90972509.540000007</v>
      </c>
      <c r="F261" s="95">
        <f t="shared" si="6"/>
        <v>1777121.1200000048</v>
      </c>
      <c r="H261" s="95">
        <v>102717609.48</v>
      </c>
      <c r="I261" s="99">
        <f t="shared" si="5"/>
        <v>238573355.36000001</v>
      </c>
    </row>
    <row r="262" spans="1:10">
      <c r="A262" s="156" t="s">
        <v>297</v>
      </c>
      <c r="B262" s="119">
        <v>-8</v>
      </c>
      <c r="C262" s="119" t="s">
        <v>298</v>
      </c>
      <c r="D262" s="128">
        <v>14349930.52</v>
      </c>
      <c r="E262" s="95">
        <f>VLOOKUP(A262,'Balancete 2014'!A:D,4,0)</f>
        <v>10980337.07</v>
      </c>
      <c r="H262" s="95">
        <v>102717609.48</v>
      </c>
      <c r="I262" s="99">
        <f t="shared" si="5"/>
        <v>136620508.75</v>
      </c>
    </row>
    <row r="263" spans="1:10">
      <c r="A263" s="156" t="s">
        <v>299</v>
      </c>
      <c r="B263" s="119">
        <v>-9</v>
      </c>
      <c r="C263" s="128" t="s">
        <v>298</v>
      </c>
      <c r="D263" s="128">
        <v>14182670.960000001</v>
      </c>
      <c r="E263" s="95">
        <f>VLOOKUP(A263,'Balancete 2014'!A:D,4,0)</f>
        <v>10980337.07</v>
      </c>
      <c r="H263" s="95">
        <v>102717609.48</v>
      </c>
      <c r="I263" s="99">
        <f t="shared" si="5"/>
        <v>136620508.75</v>
      </c>
    </row>
    <row r="264" spans="1:10">
      <c r="A264" s="156" t="s">
        <v>300</v>
      </c>
      <c r="B264" s="119">
        <v>-7</v>
      </c>
      <c r="C264" s="128" t="s">
        <v>915</v>
      </c>
      <c r="D264" s="128">
        <v>14182670.960000001</v>
      </c>
      <c r="E264" s="95">
        <f>VLOOKUP(A264,'Balancete 2014'!A:D,4,0)</f>
        <v>10980337.07</v>
      </c>
      <c r="H264" s="95">
        <v>804833734.67999995</v>
      </c>
      <c r="I264" s="99">
        <f t="shared" si="5"/>
        <v>1252774454.0699999</v>
      </c>
    </row>
    <row r="265" spans="1:10">
      <c r="A265" s="156" t="s">
        <v>865</v>
      </c>
      <c r="B265" s="119">
        <v>-4</v>
      </c>
      <c r="C265" s="128" t="s">
        <v>866</v>
      </c>
      <c r="D265" s="128">
        <v>167259.56</v>
      </c>
      <c r="E265" s="95" t="e">
        <f>VLOOKUP(A265,'Balancete 2014'!A:D,4,0)</f>
        <v>#N/A</v>
      </c>
      <c r="H265" s="95">
        <v>804833734.67999995</v>
      </c>
      <c r="I265" s="99" t="e">
        <f t="shared" si="5"/>
        <v>#N/A</v>
      </c>
    </row>
    <row r="266" spans="1:10">
      <c r="A266" s="156" t="s">
        <v>867</v>
      </c>
      <c r="B266" s="119">
        <v>0</v>
      </c>
      <c r="C266" s="128" t="s">
        <v>868</v>
      </c>
      <c r="D266" s="128">
        <v>167259.56</v>
      </c>
      <c r="E266" s="95" t="e">
        <f>VLOOKUP(A266,'Balancete 2014'!A:D,4,0)</f>
        <v>#N/A</v>
      </c>
      <c r="H266" s="95">
        <v>804833734.67999995</v>
      </c>
      <c r="I266" s="99" t="e">
        <f t="shared" si="5"/>
        <v>#N/A</v>
      </c>
    </row>
    <row r="267" spans="1:10">
      <c r="A267" s="156" t="s">
        <v>679</v>
      </c>
      <c r="B267" s="119">
        <v>-1</v>
      </c>
      <c r="C267" s="128" t="s">
        <v>680</v>
      </c>
      <c r="D267" s="128">
        <v>-77857963.370000005</v>
      </c>
      <c r="E267" s="95">
        <f>VLOOKUP(A267,'Balancete 2014'!A:D,4,0)</f>
        <v>-828363678.90999997</v>
      </c>
      <c r="H267" s="95">
        <v>201757722.24000001</v>
      </c>
      <c r="I267" s="99">
        <f t="shared" si="5"/>
        <v>1147252581.76</v>
      </c>
      <c r="J267" s="93">
        <v>8556915.6199999992</v>
      </c>
    </row>
    <row r="268" spans="1:10">
      <c r="A268" s="156" t="s">
        <v>681</v>
      </c>
      <c r="B268" s="119">
        <v>-5</v>
      </c>
      <c r="C268" s="128" t="s">
        <v>680</v>
      </c>
      <c r="D268" s="128">
        <v>-77857963.370000005</v>
      </c>
      <c r="E268" s="95">
        <f>VLOOKUP(A268,'Balancete 2014'!A:D,4,0)</f>
        <v>-828363678.90999997</v>
      </c>
      <c r="H268" s="95">
        <v>202437917.15000001</v>
      </c>
      <c r="I268" s="99">
        <f t="shared" si="5"/>
        <v>1132902651.24</v>
      </c>
    </row>
    <row r="269" spans="1:10">
      <c r="A269" s="156" t="s">
        <v>682</v>
      </c>
      <c r="B269" s="119">
        <v>0</v>
      </c>
      <c r="C269" s="128" t="s">
        <v>680</v>
      </c>
      <c r="D269" s="128">
        <v>-77857963.370000005</v>
      </c>
      <c r="E269" s="95">
        <f>VLOOKUP(A269,'Balancete 2014'!A:D,4,0)</f>
        <v>-828363678.90999997</v>
      </c>
      <c r="H269" s="95">
        <v>313925657.55000001</v>
      </c>
      <c r="I269" s="99">
        <f t="shared" si="5"/>
        <v>1222098039.6599998</v>
      </c>
    </row>
    <row r="270" spans="1:10">
      <c r="A270" s="156" t="s">
        <v>683</v>
      </c>
      <c r="B270" s="119">
        <v>-5</v>
      </c>
      <c r="C270" s="128" t="s">
        <v>684</v>
      </c>
      <c r="D270" s="128">
        <v>-77857963.370000005</v>
      </c>
      <c r="E270" s="95">
        <f>VLOOKUP(A270,'Balancete 2014'!A:D,4,0)</f>
        <v>-828363678.90999997</v>
      </c>
      <c r="H270" s="95">
        <v>524126650.88999999</v>
      </c>
      <c r="I270" s="99">
        <f t="shared" si="5"/>
        <v>1485738018.5799999</v>
      </c>
    </row>
    <row r="271" spans="1:10">
      <c r="A271" s="156">
        <v>7</v>
      </c>
      <c r="B271" s="119">
        <v>-5</v>
      </c>
      <c r="C271" s="128" t="s">
        <v>215</v>
      </c>
      <c r="D271" s="128">
        <v>148844775.94999999</v>
      </c>
      <c r="E271" s="95">
        <f>VLOOKUP(A271,'Balancete 2014'!A:D,4,0)</f>
        <v>1074796645.23</v>
      </c>
      <c r="H271" s="95">
        <v>-210200993.34</v>
      </c>
      <c r="I271" s="99"/>
    </row>
    <row r="272" spans="1:10">
      <c r="A272" s="156" t="s">
        <v>216</v>
      </c>
      <c r="B272" s="119">
        <v>-2</v>
      </c>
      <c r="C272" s="128" t="s">
        <v>217</v>
      </c>
      <c r="D272" s="128">
        <v>148844775.94999999</v>
      </c>
      <c r="E272" s="95">
        <f>VLOOKUP(A272,'Balancete 2014'!A:D,4,0)</f>
        <v>1074796645.23</v>
      </c>
      <c r="H272" s="95">
        <v>-111487740.40000001</v>
      </c>
      <c r="I272" s="99"/>
    </row>
    <row r="273" spans="1:14">
      <c r="A273" s="156" t="s">
        <v>339</v>
      </c>
      <c r="B273" s="119">
        <v>-5</v>
      </c>
      <c r="C273" s="128" t="s">
        <v>218</v>
      </c>
      <c r="D273" s="128">
        <v>6815871.7300000004</v>
      </c>
      <c r="E273" s="95">
        <f>VLOOKUP(A273,'Balancete 2014'!A:D,4,0)</f>
        <v>9226931.5999999996</v>
      </c>
      <c r="H273" s="95">
        <v>-111487740.40000001</v>
      </c>
      <c r="I273" s="99"/>
    </row>
    <row r="274" spans="1:14">
      <c r="A274" s="156" t="s">
        <v>219</v>
      </c>
      <c r="B274" s="119">
        <v>-9</v>
      </c>
      <c r="C274" s="128" t="s">
        <v>220</v>
      </c>
      <c r="D274" s="128">
        <v>6815871.7300000004</v>
      </c>
      <c r="E274" s="95">
        <f>VLOOKUP(A274,'Balancete 2014'!A:D,4,0)</f>
        <v>9226931.5999999996</v>
      </c>
      <c r="H274" s="95">
        <v>-680194.91</v>
      </c>
      <c r="I274" s="99"/>
    </row>
    <row r="275" spans="1:14">
      <c r="A275" s="156" t="s">
        <v>221</v>
      </c>
      <c r="B275" s="119">
        <v>0</v>
      </c>
      <c r="C275" s="128" t="s">
        <v>916</v>
      </c>
      <c r="D275" s="128">
        <v>6815871.7300000004</v>
      </c>
      <c r="E275" s="95">
        <f>VLOOKUP(A275,'Balancete 2014'!A:D,4,0)</f>
        <v>9226931.5999999996</v>
      </c>
      <c r="H275" s="95">
        <v>-680194.91</v>
      </c>
      <c r="I275" s="99"/>
    </row>
    <row r="276" spans="1:14">
      <c r="A276" s="156" t="s">
        <v>223</v>
      </c>
      <c r="B276" s="119">
        <v>-9</v>
      </c>
      <c r="C276" s="128" t="s">
        <v>917</v>
      </c>
      <c r="D276" s="128">
        <v>6815871.7300000004</v>
      </c>
      <c r="E276" s="95">
        <f>VLOOKUP(A276,'Balancete 2014'!A:D,4,0)</f>
        <v>9226931.5999999996</v>
      </c>
      <c r="H276" s="95">
        <v>-680194.91</v>
      </c>
      <c r="I276" s="99"/>
      <c r="M276" s="93" t="s">
        <v>221</v>
      </c>
      <c r="N276" s="95">
        <v>6815871.7300000004</v>
      </c>
    </row>
    <row r="277" spans="1:14">
      <c r="A277" s="156" t="s">
        <v>340</v>
      </c>
      <c r="B277" s="119">
        <v>-3</v>
      </c>
      <c r="C277" s="128" t="s">
        <v>224</v>
      </c>
      <c r="D277" s="128">
        <v>48508310.380000003</v>
      </c>
      <c r="E277" s="95">
        <f>VLOOKUP(A277,'Balancete 2014'!A:D,4,0)</f>
        <v>82742176.739999995</v>
      </c>
      <c r="H277" s="95" t="e">
        <v>#N/A</v>
      </c>
      <c r="I277" s="99"/>
      <c r="M277" s="93" t="s">
        <v>228</v>
      </c>
      <c r="N277" s="95">
        <v>41161085.460000001</v>
      </c>
    </row>
    <row r="278" spans="1:14">
      <c r="A278" s="156" t="s">
        <v>225</v>
      </c>
      <c r="B278" s="119">
        <v>-7</v>
      </c>
      <c r="C278" s="128" t="s">
        <v>226</v>
      </c>
      <c r="D278" s="128">
        <v>41161085.460000001</v>
      </c>
      <c r="E278" s="95">
        <f>VLOOKUP(A278,'Balancete 2014'!A:D,4,0)</f>
        <v>34524345.469999999</v>
      </c>
      <c r="H278" s="95" t="e">
        <v>#N/A</v>
      </c>
      <c r="I278" s="99"/>
      <c r="M278" s="93" t="s">
        <v>580</v>
      </c>
      <c r="N278" s="95">
        <v>1342667.12</v>
      </c>
    </row>
    <row r="279" spans="1:14">
      <c r="A279" s="156" t="s">
        <v>227</v>
      </c>
      <c r="B279" s="119">
        <v>-5</v>
      </c>
      <c r="C279" s="128" t="s">
        <v>869</v>
      </c>
      <c r="D279" s="128">
        <v>41161085.460000001</v>
      </c>
      <c r="E279" s="95">
        <f>VLOOKUP(A279,'Balancete 2014'!A:D,4,0)</f>
        <v>34524345.469999999</v>
      </c>
      <c r="H279" s="95">
        <v>-592721654.38999999</v>
      </c>
      <c r="I279" s="99"/>
    </row>
    <row r="280" spans="1:14">
      <c r="A280" s="156" t="s">
        <v>228</v>
      </c>
      <c r="B280" s="119">
        <v>-3</v>
      </c>
      <c r="C280" s="128" t="s">
        <v>870</v>
      </c>
      <c r="D280" s="128">
        <v>41161085.460000001</v>
      </c>
      <c r="E280" s="95">
        <f>VLOOKUP(A280,'Balancete 2014'!A:D,4,0)</f>
        <v>34524345.469999999</v>
      </c>
      <c r="H280" s="95">
        <v>-592721654.38999999</v>
      </c>
      <c r="I280" s="99"/>
    </row>
    <row r="281" spans="1:14">
      <c r="A281" s="156" t="s">
        <v>566</v>
      </c>
      <c r="B281" s="119">
        <v>0</v>
      </c>
      <c r="C281" s="128" t="s">
        <v>567</v>
      </c>
      <c r="D281" s="128">
        <v>6004557.7999999998</v>
      </c>
      <c r="E281" s="95">
        <f>VLOOKUP(A281,'Balancete 2014'!A:D,4,0)</f>
        <v>24203959.329999998</v>
      </c>
      <c r="H281" s="95">
        <v>-592721654.38999999</v>
      </c>
      <c r="I281" s="99"/>
    </row>
    <row r="282" spans="1:14">
      <c r="A282" s="156" t="s">
        <v>568</v>
      </c>
      <c r="B282" s="119">
        <v>-9</v>
      </c>
      <c r="C282" s="128" t="s">
        <v>918</v>
      </c>
      <c r="D282" s="128">
        <v>6004557.7999999998</v>
      </c>
      <c r="E282" s="95">
        <f>VLOOKUP(A282,'Balancete 2014'!A:D,4,0)</f>
        <v>24203959.329999998</v>
      </c>
      <c r="H282" s="95">
        <v>-592721654.38999999</v>
      </c>
      <c r="I282" s="99"/>
    </row>
    <row r="283" spans="1:14">
      <c r="A283" s="156" t="s">
        <v>570</v>
      </c>
      <c r="B283" s="119">
        <v>-7</v>
      </c>
      <c r="C283" s="128" t="s">
        <v>571</v>
      </c>
      <c r="D283" s="128">
        <v>4699031.5199999996</v>
      </c>
      <c r="E283" s="95">
        <f>VLOOKUP(A283,'Balancete 2014'!A:D,4,0)</f>
        <v>21900744.82</v>
      </c>
      <c r="H283" s="95">
        <v>829578704.90999997</v>
      </c>
      <c r="I283" s="99"/>
    </row>
    <row r="284" spans="1:14">
      <c r="A284" s="156" t="s">
        <v>572</v>
      </c>
      <c r="B284" s="119">
        <v>-5</v>
      </c>
      <c r="C284" s="128" t="s">
        <v>573</v>
      </c>
      <c r="D284" s="128">
        <v>1305526.28</v>
      </c>
      <c r="E284" s="95">
        <f>VLOOKUP(A284,'Balancete 2014'!A:D,4,0)</f>
        <v>1292261.17</v>
      </c>
      <c r="H284" s="95">
        <v>829578704.90999997</v>
      </c>
      <c r="I284" s="99"/>
    </row>
    <row r="285" spans="1:14">
      <c r="A285" s="156" t="s">
        <v>576</v>
      </c>
      <c r="B285" s="119">
        <v>-8</v>
      </c>
      <c r="C285" s="128" t="s">
        <v>577</v>
      </c>
      <c r="D285" s="128">
        <v>1342667.12</v>
      </c>
      <c r="E285" s="95">
        <f>VLOOKUP(A285,'Balancete 2014'!A:D,4,0)</f>
        <v>24013871.940000001</v>
      </c>
      <c r="H285" s="95">
        <v>10042533.48</v>
      </c>
      <c r="I285" s="99"/>
    </row>
    <row r="286" spans="1:14">
      <c r="A286" s="156" t="s">
        <v>578</v>
      </c>
      <c r="B286" s="119">
        <v>-3</v>
      </c>
      <c r="C286" s="128" t="s">
        <v>579</v>
      </c>
      <c r="D286" s="128">
        <v>1342667.12</v>
      </c>
      <c r="E286" s="95">
        <f>VLOOKUP(A286,'Balancete 2014'!A:D,4,0)</f>
        <v>24013871.940000001</v>
      </c>
      <c r="H286" s="95">
        <v>10042533.48</v>
      </c>
      <c r="I286" s="99"/>
    </row>
    <row r="287" spans="1:14">
      <c r="A287" s="156" t="s">
        <v>580</v>
      </c>
      <c r="B287" s="119">
        <v>-8</v>
      </c>
      <c r="C287" s="128" t="s">
        <v>581</v>
      </c>
      <c r="D287" s="128">
        <v>1342667.12</v>
      </c>
      <c r="E287" s="95">
        <f>VLOOKUP(A287,'Balancete 2014'!A:D,4,0)</f>
        <v>24013871.940000001</v>
      </c>
      <c r="H287" s="95">
        <v>10042533.48</v>
      </c>
      <c r="I287" s="99"/>
    </row>
    <row r="288" spans="1:14">
      <c r="A288" s="156" t="s">
        <v>332</v>
      </c>
      <c r="B288" s="119">
        <v>-8</v>
      </c>
      <c r="C288" s="119" t="s">
        <v>229</v>
      </c>
      <c r="D288" s="128">
        <v>92001488.469999999</v>
      </c>
      <c r="E288" s="95">
        <f>VLOOKUP(A288,'Balancete 2014'!A:D,4,0)</f>
        <v>912414694.49000001</v>
      </c>
      <c r="H288" s="95">
        <v>10042533.48</v>
      </c>
      <c r="I288" s="99"/>
    </row>
    <row r="289" spans="1:9">
      <c r="A289" s="156" t="s">
        <v>230</v>
      </c>
      <c r="B289" s="119">
        <v>-5</v>
      </c>
      <c r="C289" s="128" t="s">
        <v>231</v>
      </c>
      <c r="D289" s="128">
        <v>92001488.469999999</v>
      </c>
      <c r="E289" s="95">
        <f>VLOOKUP(A289,'Balancete 2014'!A:D,4,0)</f>
        <v>912414694.49000001</v>
      </c>
      <c r="H289" s="95">
        <v>15815993.16</v>
      </c>
      <c r="I289" s="99"/>
    </row>
    <row r="290" spans="1:9">
      <c r="A290" s="156" t="s">
        <v>232</v>
      </c>
      <c r="B290" s="119">
        <v>0</v>
      </c>
      <c r="C290" s="128" t="s">
        <v>231</v>
      </c>
      <c r="D290" s="128">
        <v>92001488.469999999</v>
      </c>
      <c r="E290" s="95">
        <f>VLOOKUP(A290,'Balancete 2014'!A:D,4,0)</f>
        <v>912414694.49000001</v>
      </c>
      <c r="H290" s="95">
        <v>15815993.16</v>
      </c>
      <c r="I290" s="99"/>
    </row>
    <row r="291" spans="1:9">
      <c r="A291" s="156" t="s">
        <v>233</v>
      </c>
      <c r="B291" s="119">
        <v>-5</v>
      </c>
      <c r="C291" s="128" t="s">
        <v>871</v>
      </c>
      <c r="D291" s="128">
        <v>33871260.969999999</v>
      </c>
      <c r="E291" s="95">
        <f>VLOOKUP(A291,'Balancete 2014'!A:D,4,0)</f>
        <v>879111632.69000006</v>
      </c>
      <c r="H291" s="95">
        <v>15815993.16</v>
      </c>
      <c r="I291" s="99"/>
    </row>
    <row r="292" spans="1:9">
      <c r="A292" s="156" t="s">
        <v>234</v>
      </c>
      <c r="B292" s="119">
        <v>-2</v>
      </c>
      <c r="C292" s="128" t="s">
        <v>235</v>
      </c>
      <c r="D292" s="128">
        <v>58130227.5</v>
      </c>
      <c r="E292" s="95">
        <f>VLOOKUP(A292,'Balancete 2014'!A:D,4,0)</f>
        <v>33303061.800000001</v>
      </c>
      <c r="H292" s="95">
        <v>15815993.16</v>
      </c>
      <c r="I292" s="99"/>
    </row>
    <row r="293" spans="1:9">
      <c r="A293" s="156" t="s">
        <v>335</v>
      </c>
      <c r="B293" s="119">
        <v>-6</v>
      </c>
      <c r="C293" s="119" t="s">
        <v>236</v>
      </c>
      <c r="D293" s="128">
        <v>1519105.37</v>
      </c>
      <c r="E293" s="95">
        <f>VLOOKUP(A293,'Balancete 2014'!A:D,4,0)</f>
        <v>70412842.400000006</v>
      </c>
      <c r="H293" s="95" t="e">
        <v>#N/A</v>
      </c>
      <c r="I293" s="99"/>
    </row>
    <row r="294" spans="1:9">
      <c r="A294" s="156" t="s">
        <v>237</v>
      </c>
      <c r="B294" s="119">
        <v>0</v>
      </c>
      <c r="C294" s="128" t="s">
        <v>238</v>
      </c>
      <c r="D294" s="128">
        <v>1519105.37</v>
      </c>
      <c r="E294" s="95">
        <f>VLOOKUP(A294,'Balancete 2014'!A:D,4,0)</f>
        <v>70412842.400000006</v>
      </c>
      <c r="H294" s="95" t="e">
        <v>#N/A</v>
      </c>
      <c r="I294" s="99"/>
    </row>
    <row r="295" spans="1:9">
      <c r="A295" s="156" t="s">
        <v>336</v>
      </c>
      <c r="B295" s="119">
        <v>-9</v>
      </c>
      <c r="C295" s="128" t="s">
        <v>872</v>
      </c>
      <c r="D295" s="128">
        <v>1467694.4</v>
      </c>
      <c r="E295" s="95">
        <f>VLOOKUP(A295,'Balancete 2014'!A:D,4,0)</f>
        <v>70412757.760000005</v>
      </c>
      <c r="H295" s="95" t="e">
        <v>#N/A</v>
      </c>
      <c r="I295" s="99"/>
    </row>
    <row r="296" spans="1:9">
      <c r="A296" s="156" t="s">
        <v>333</v>
      </c>
      <c r="B296" s="119">
        <v>-1</v>
      </c>
      <c r="C296" s="128" t="s">
        <v>873</v>
      </c>
      <c r="D296" s="128">
        <v>1467694.4</v>
      </c>
      <c r="E296" s="95">
        <f>VLOOKUP(A296,'Balancete 2014'!A:D,4,0)</f>
        <v>70412757.760000005</v>
      </c>
      <c r="H296" s="95" t="e">
        <v>#N/A</v>
      </c>
      <c r="I296" s="99"/>
    </row>
    <row r="297" spans="1:9">
      <c r="A297" s="156" t="s">
        <v>241</v>
      </c>
      <c r="B297" s="119">
        <v>-9</v>
      </c>
      <c r="C297" s="128" t="s">
        <v>586</v>
      </c>
      <c r="D297" s="128">
        <v>51410.97</v>
      </c>
      <c r="E297" s="95">
        <f>VLOOKUP(A297,'Balancete 2014'!A:D,4,0)</f>
        <v>72.78</v>
      </c>
      <c r="H297" s="95" t="e">
        <v>#N/A</v>
      </c>
      <c r="I297" s="99"/>
    </row>
    <row r="298" spans="1:9">
      <c r="A298" s="156" t="s">
        <v>919</v>
      </c>
      <c r="B298" s="119">
        <v>0</v>
      </c>
      <c r="C298" s="128" t="s">
        <v>920</v>
      </c>
      <c r="D298" s="128">
        <v>51410.97</v>
      </c>
      <c r="E298" s="95" t="e">
        <f>VLOOKUP(A298,'Balancete 2014'!A:D,4,0)</f>
        <v>#N/A</v>
      </c>
      <c r="H298" s="95" t="e">
        <v>#N/A</v>
      </c>
      <c r="I298" s="99"/>
    </row>
    <row r="299" spans="1:9">
      <c r="A299" s="156">
        <v>9</v>
      </c>
      <c r="B299" s="119">
        <v>-8</v>
      </c>
      <c r="C299" s="128" t="s">
        <v>625</v>
      </c>
      <c r="D299" s="128">
        <v>98361900.319999993</v>
      </c>
      <c r="E299" s="95">
        <f>VLOOKUP(A299,'Balancete 2014'!A:D,4,0)</f>
        <v>74647059.890000001</v>
      </c>
      <c r="H299" s="95" t="e">
        <v>#N/A</v>
      </c>
      <c r="I299" s="99"/>
    </row>
    <row r="300" spans="1:9">
      <c r="A300" s="156" t="s">
        <v>639</v>
      </c>
      <c r="B300" s="119">
        <v>-8</v>
      </c>
      <c r="C300" s="119" t="s">
        <v>625</v>
      </c>
      <c r="D300" s="128">
        <v>98361900.319999993</v>
      </c>
      <c r="E300" s="95">
        <f>VLOOKUP(A300,'Balancete 2014'!A:D,4,0)</f>
        <v>74647059.890000001</v>
      </c>
      <c r="H300" s="95">
        <v>745887094.76999998</v>
      </c>
      <c r="I300" s="99"/>
    </row>
    <row r="301" spans="1:9">
      <c r="A301" s="156" t="s">
        <v>640</v>
      </c>
      <c r="B301" s="119">
        <v>-1</v>
      </c>
      <c r="C301" s="119" t="s">
        <v>628</v>
      </c>
      <c r="D301" s="128">
        <v>98361900.319999993</v>
      </c>
      <c r="E301" s="95">
        <f>VLOOKUP(A301,'Balancete 2014'!A:D,4,0)</f>
        <v>74647059.890000001</v>
      </c>
      <c r="H301" s="95">
        <v>745887094.76999998</v>
      </c>
      <c r="I301" s="99"/>
    </row>
    <row r="302" spans="1:9">
      <c r="A302" s="156" t="s">
        <v>641</v>
      </c>
      <c r="B302" s="119">
        <v>-5</v>
      </c>
      <c r="C302" s="119" t="s">
        <v>642</v>
      </c>
      <c r="D302" s="128">
        <v>98361900.319999993</v>
      </c>
      <c r="E302" s="95">
        <f>VLOOKUP(A302,'Balancete 2014'!A:D,4,0)</f>
        <v>74647059.890000001</v>
      </c>
      <c r="H302" s="95">
        <v>745887094.76999998</v>
      </c>
      <c r="I302" s="99"/>
    </row>
    <row r="303" spans="1:9">
      <c r="A303" s="156" t="s">
        <v>643</v>
      </c>
      <c r="B303" s="119">
        <v>-1</v>
      </c>
      <c r="C303" s="119" t="s">
        <v>644</v>
      </c>
      <c r="D303" s="128">
        <v>98361900.319999993</v>
      </c>
      <c r="E303" s="95">
        <f>VLOOKUP(A303,'Balancete 2014'!A:D,4,0)</f>
        <v>74647059.890000001</v>
      </c>
      <c r="H303" s="95">
        <v>719600814.76999998</v>
      </c>
      <c r="I303" s="99"/>
    </row>
    <row r="304" spans="1:9">
      <c r="A304" s="156" t="s">
        <v>645</v>
      </c>
      <c r="B304" s="119">
        <v>-6</v>
      </c>
      <c r="C304" s="119" t="s">
        <v>646</v>
      </c>
      <c r="D304" s="128">
        <v>42865000</v>
      </c>
      <c r="E304" s="95">
        <f>VLOOKUP(A304,'Balancete 2014'!A:D,4,0)</f>
        <v>35006416.810000002</v>
      </c>
      <c r="H304" s="95">
        <v>26286280</v>
      </c>
      <c r="I304" s="99"/>
    </row>
    <row r="305" spans="1:4">
      <c r="A305" s="156" t="s">
        <v>647</v>
      </c>
      <c r="B305" s="119">
        <v>-4</v>
      </c>
      <c r="C305" s="119" t="s">
        <v>648</v>
      </c>
      <c r="D305" s="128">
        <v>55496900.32</v>
      </c>
    </row>
    <row r="306" spans="1:4">
      <c r="A306" s="92"/>
    </row>
    <row r="307" spans="1:4">
      <c r="A307" s="92"/>
      <c r="D307" s="93" t="s">
        <v>989</v>
      </c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  <c r="B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1">
      <c r="A337" s="92"/>
    </row>
    <row r="338" spans="1:1">
      <c r="A338" s="92"/>
    </row>
    <row r="339" spans="1:1">
      <c r="A339" s="92"/>
    </row>
    <row r="340" spans="1:1">
      <c r="A340" s="92"/>
    </row>
    <row r="341" spans="1:1">
      <c r="A341" s="92"/>
    </row>
    <row r="342" spans="1:1">
      <c r="A342" s="92"/>
    </row>
    <row r="346" spans="1:1">
      <c r="A346" s="131"/>
    </row>
  </sheetData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H342"/>
  <sheetViews>
    <sheetView workbookViewId="0">
      <selection activeCell="D226" activeCellId="2" sqref="D215 D220 D226"/>
    </sheetView>
  </sheetViews>
  <sheetFormatPr defaultRowHeight="12.75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>
      <c r="A1" t="s">
        <v>649</v>
      </c>
      <c r="B1" t="s">
        <v>650</v>
      </c>
      <c r="C1" t="s">
        <v>1120</v>
      </c>
      <c r="D1" t="s">
        <v>1011</v>
      </c>
    </row>
    <row r="2" spans="1:4">
      <c r="A2" s="50">
        <v>0.74960648148148146</v>
      </c>
      <c r="C2" t="s">
        <v>712</v>
      </c>
      <c r="D2" t="s">
        <v>713</v>
      </c>
    </row>
    <row r="3" spans="1:4">
      <c r="A3" t="s">
        <v>651</v>
      </c>
      <c r="B3" t="s">
        <v>652</v>
      </c>
      <c r="C3" t="s">
        <v>714</v>
      </c>
      <c r="D3" t="s">
        <v>1012</v>
      </c>
    </row>
    <row r="4" spans="1:4">
      <c r="A4" t="s">
        <v>616</v>
      </c>
      <c r="B4" t="s">
        <v>617</v>
      </c>
      <c r="C4" t="s">
        <v>716</v>
      </c>
      <c r="D4" t="s">
        <v>717</v>
      </c>
    </row>
    <row r="5" spans="1:4">
      <c r="A5" t="s">
        <v>618</v>
      </c>
      <c r="B5" t="s">
        <v>619</v>
      </c>
      <c r="C5" t="s">
        <v>620</v>
      </c>
    </row>
    <row r="6" spans="1:4">
      <c r="A6" t="s">
        <v>616</v>
      </c>
      <c r="B6" t="s">
        <v>617</v>
      </c>
      <c r="C6" t="s">
        <v>716</v>
      </c>
      <c r="D6" t="s">
        <v>717</v>
      </c>
    </row>
    <row r="8" spans="1:4">
      <c r="A8">
        <v>1</v>
      </c>
      <c r="B8">
        <v>-7</v>
      </c>
      <c r="C8" t="s">
        <v>345</v>
      </c>
      <c r="D8" s="2">
        <v>1632038031.6600001</v>
      </c>
    </row>
    <row r="9" spans="1:4">
      <c r="A9" t="s">
        <v>315</v>
      </c>
      <c r="B9">
        <v>-4</v>
      </c>
      <c r="C9" t="s">
        <v>346</v>
      </c>
      <c r="D9">
        <v>687.88</v>
      </c>
    </row>
    <row r="10" spans="1:4">
      <c r="A10" t="s">
        <v>347</v>
      </c>
      <c r="B10">
        <v>-2</v>
      </c>
      <c r="C10" t="s">
        <v>348</v>
      </c>
      <c r="D10">
        <v>635.9</v>
      </c>
    </row>
    <row r="11" spans="1:4">
      <c r="A11" t="s">
        <v>349</v>
      </c>
      <c r="B11">
        <v>0</v>
      </c>
      <c r="C11" t="s">
        <v>348</v>
      </c>
      <c r="D11">
        <v>635.9</v>
      </c>
    </row>
    <row r="12" spans="1:4">
      <c r="A12" t="s">
        <v>351</v>
      </c>
      <c r="B12">
        <v>-5</v>
      </c>
      <c r="C12" t="s">
        <v>348</v>
      </c>
      <c r="D12">
        <v>635.9</v>
      </c>
    </row>
    <row r="13" spans="1:4">
      <c r="A13" t="s">
        <v>352</v>
      </c>
      <c r="B13">
        <v>-3</v>
      </c>
      <c r="C13" t="s">
        <v>348</v>
      </c>
      <c r="D13">
        <v>635.9</v>
      </c>
    </row>
    <row r="14" spans="1:4">
      <c r="A14" t="s">
        <v>353</v>
      </c>
      <c r="B14">
        <v>0</v>
      </c>
      <c r="C14" t="s">
        <v>354</v>
      </c>
      <c r="D14">
        <v>51.98</v>
      </c>
    </row>
    <row r="15" spans="1:4">
      <c r="A15" t="s">
        <v>355</v>
      </c>
      <c r="B15">
        <v>-2</v>
      </c>
      <c r="C15" t="s">
        <v>354</v>
      </c>
      <c r="D15">
        <v>51.98</v>
      </c>
    </row>
    <row r="16" spans="1:4">
      <c r="A16" t="s">
        <v>356</v>
      </c>
      <c r="B16">
        <v>-8</v>
      </c>
      <c r="C16" t="s">
        <v>354</v>
      </c>
      <c r="D16">
        <v>51.98</v>
      </c>
    </row>
    <row r="17" spans="1:4">
      <c r="A17" t="s">
        <v>357</v>
      </c>
      <c r="B17">
        <v>-6</v>
      </c>
      <c r="C17" t="s">
        <v>354</v>
      </c>
      <c r="D17">
        <v>51.98</v>
      </c>
    </row>
    <row r="18" spans="1:4">
      <c r="A18" t="s">
        <v>316</v>
      </c>
      <c r="B18">
        <v>-1</v>
      </c>
      <c r="C18" t="s">
        <v>358</v>
      </c>
      <c r="D18" s="2">
        <v>117751873.09999999</v>
      </c>
    </row>
    <row r="19" spans="1:4">
      <c r="A19" t="s">
        <v>359</v>
      </c>
      <c r="B19">
        <v>0</v>
      </c>
      <c r="C19" t="s">
        <v>360</v>
      </c>
      <c r="D19" s="2">
        <v>117751873.09999999</v>
      </c>
    </row>
    <row r="20" spans="1:4">
      <c r="A20" t="s">
        <v>361</v>
      </c>
      <c r="B20">
        <v>-3</v>
      </c>
      <c r="C20" t="s">
        <v>362</v>
      </c>
      <c r="D20" s="2">
        <v>117751873.09999999</v>
      </c>
    </row>
    <row r="21" spans="1:4">
      <c r="A21" t="s">
        <v>371</v>
      </c>
      <c r="B21">
        <v>-8</v>
      </c>
      <c r="C21" t="s">
        <v>372</v>
      </c>
      <c r="D21" s="2">
        <v>117751873.09999999</v>
      </c>
    </row>
    <row r="22" spans="1:4">
      <c r="A22" t="s">
        <v>373</v>
      </c>
      <c r="B22">
        <v>-9</v>
      </c>
      <c r="C22" t="s">
        <v>878</v>
      </c>
      <c r="D22" s="2">
        <v>117751873.09999999</v>
      </c>
    </row>
    <row r="23" spans="1:4">
      <c r="A23" t="s">
        <v>364</v>
      </c>
      <c r="B23">
        <v>-9</v>
      </c>
      <c r="C23" t="s">
        <v>365</v>
      </c>
      <c r="D23" s="2">
        <v>1507348347.52</v>
      </c>
    </row>
    <row r="24" spans="1:4">
      <c r="A24" t="s">
        <v>366</v>
      </c>
      <c r="B24">
        <v>-7</v>
      </c>
      <c r="C24" t="s">
        <v>367</v>
      </c>
      <c r="D24" s="2">
        <v>1507348347.52</v>
      </c>
    </row>
    <row r="25" spans="1:4">
      <c r="A25" t="s">
        <v>318</v>
      </c>
      <c r="B25">
        <v>0</v>
      </c>
      <c r="C25" t="s">
        <v>0</v>
      </c>
      <c r="D25" s="2">
        <v>688876225.20000005</v>
      </c>
    </row>
    <row r="26" spans="1:4">
      <c r="A26" t="s">
        <v>1</v>
      </c>
      <c r="B26">
        <v>-7</v>
      </c>
      <c r="C26" t="s">
        <v>2</v>
      </c>
      <c r="D26" s="2">
        <v>688876225.20000005</v>
      </c>
    </row>
    <row r="27" spans="1:4">
      <c r="A27" t="s">
        <v>3</v>
      </c>
      <c r="B27">
        <v>-5</v>
      </c>
      <c r="C27" t="s">
        <v>795</v>
      </c>
      <c r="D27" s="2">
        <v>688876225.20000005</v>
      </c>
    </row>
    <row r="28" spans="1:4">
      <c r="A28" t="s">
        <v>376</v>
      </c>
      <c r="B28">
        <v>-3</v>
      </c>
      <c r="C28" t="s">
        <v>377</v>
      </c>
      <c r="D28" s="2">
        <v>97899807.069999993</v>
      </c>
    </row>
    <row r="29" spans="1:4">
      <c r="A29" t="s">
        <v>378</v>
      </c>
      <c r="B29">
        <v>-6</v>
      </c>
      <c r="C29" t="s">
        <v>379</v>
      </c>
      <c r="D29" s="2">
        <v>97899807.069999993</v>
      </c>
    </row>
    <row r="30" spans="1:4">
      <c r="A30" t="s">
        <v>380</v>
      </c>
      <c r="B30">
        <v>-4</v>
      </c>
      <c r="C30" t="s">
        <v>879</v>
      </c>
      <c r="D30" s="2">
        <v>97899807.069999993</v>
      </c>
    </row>
    <row r="31" spans="1:4">
      <c r="A31" t="s">
        <v>317</v>
      </c>
      <c r="B31">
        <v>-4</v>
      </c>
      <c r="C31" t="s">
        <v>4</v>
      </c>
      <c r="D31" s="2">
        <v>720572315.25</v>
      </c>
    </row>
    <row r="32" spans="1:4">
      <c r="A32" t="s">
        <v>5</v>
      </c>
      <c r="B32">
        <v>0</v>
      </c>
      <c r="C32" t="s">
        <v>6</v>
      </c>
      <c r="D32" s="2">
        <v>720572315.25</v>
      </c>
    </row>
    <row r="33" spans="1:4">
      <c r="A33" t="s">
        <v>7</v>
      </c>
      <c r="B33">
        <v>-7</v>
      </c>
      <c r="C33" t="s">
        <v>880</v>
      </c>
      <c r="D33" s="2">
        <v>720572315.25</v>
      </c>
    </row>
    <row r="34" spans="1:4">
      <c r="A34" t="s">
        <v>12</v>
      </c>
      <c r="B34">
        <v>-5</v>
      </c>
      <c r="C34" t="s">
        <v>13</v>
      </c>
      <c r="D34" s="2">
        <v>6937123.1600000001</v>
      </c>
    </row>
    <row r="35" spans="1:4">
      <c r="A35" t="s">
        <v>319</v>
      </c>
      <c r="B35">
        <v>0</v>
      </c>
      <c r="C35" t="s">
        <v>14</v>
      </c>
      <c r="D35" s="2">
        <v>1758669.46</v>
      </c>
    </row>
    <row r="36" spans="1:4">
      <c r="A36" t="s">
        <v>15</v>
      </c>
      <c r="B36">
        <v>-1</v>
      </c>
      <c r="C36" t="s">
        <v>16</v>
      </c>
      <c r="D36" s="2">
        <v>1758669.46</v>
      </c>
    </row>
    <row r="37" spans="1:4">
      <c r="A37" t="s">
        <v>17</v>
      </c>
      <c r="B37">
        <v>-3</v>
      </c>
      <c r="C37" t="s">
        <v>1013</v>
      </c>
      <c r="D37" s="2">
        <v>1758669.46</v>
      </c>
    </row>
    <row r="38" spans="1:4">
      <c r="A38" t="s">
        <v>18</v>
      </c>
      <c r="B38">
        <v>-1</v>
      </c>
      <c r="C38" t="s">
        <v>797</v>
      </c>
      <c r="D38" s="2">
        <v>335347.78000000003</v>
      </c>
    </row>
    <row r="39" spans="1:4">
      <c r="A39" t="s">
        <v>19</v>
      </c>
      <c r="B39">
        <v>0</v>
      </c>
      <c r="C39" t="s">
        <v>798</v>
      </c>
      <c r="D39" s="2">
        <v>1423321.68</v>
      </c>
    </row>
    <row r="40" spans="1:4">
      <c r="A40" t="s">
        <v>320</v>
      </c>
      <c r="B40">
        <v>0</v>
      </c>
      <c r="C40" t="s">
        <v>20</v>
      </c>
      <c r="D40" s="2">
        <v>5178453.7</v>
      </c>
    </row>
    <row r="41" spans="1:4">
      <c r="A41" t="s">
        <v>21</v>
      </c>
      <c r="B41">
        <v>0</v>
      </c>
      <c r="C41" t="s">
        <v>22</v>
      </c>
      <c r="D41" s="2">
        <v>57498.64</v>
      </c>
    </row>
    <row r="42" spans="1:4">
      <c r="A42" t="s">
        <v>23</v>
      </c>
      <c r="B42">
        <v>-4</v>
      </c>
      <c r="C42" t="s">
        <v>968</v>
      </c>
      <c r="D42" s="2">
        <v>57498.64</v>
      </c>
    </row>
    <row r="43" spans="1:4">
      <c r="A43" t="s">
        <v>24</v>
      </c>
      <c r="B43">
        <v>-2</v>
      </c>
      <c r="C43" t="s">
        <v>799</v>
      </c>
      <c r="D43" s="2">
        <v>42278.41</v>
      </c>
    </row>
    <row r="44" spans="1:4">
      <c r="A44" t="s">
        <v>25</v>
      </c>
      <c r="B44">
        <v>0</v>
      </c>
      <c r="C44" t="s">
        <v>800</v>
      </c>
      <c r="D44" s="2">
        <v>15220.23</v>
      </c>
    </row>
    <row r="45" spans="1:4">
      <c r="A45" t="s">
        <v>26</v>
      </c>
      <c r="B45">
        <v>-8</v>
      </c>
      <c r="C45" t="s">
        <v>27</v>
      </c>
      <c r="D45" s="2">
        <v>1236823</v>
      </c>
    </row>
    <row r="46" spans="1:4">
      <c r="A46" t="s">
        <v>389</v>
      </c>
      <c r="B46">
        <v>0</v>
      </c>
      <c r="C46" t="s">
        <v>941</v>
      </c>
      <c r="D46" s="2">
        <v>1183278.52</v>
      </c>
    </row>
    <row r="47" spans="1:4">
      <c r="A47" t="s">
        <v>395</v>
      </c>
      <c r="B47">
        <v>-2</v>
      </c>
      <c r="C47" t="s">
        <v>944</v>
      </c>
      <c r="D47" s="2">
        <v>1183278.52</v>
      </c>
    </row>
    <row r="48" spans="1:4">
      <c r="A48" t="s">
        <v>675</v>
      </c>
      <c r="B48">
        <v>-5</v>
      </c>
      <c r="C48" t="s">
        <v>1014</v>
      </c>
      <c r="D48" s="2">
        <v>53544.480000000003</v>
      </c>
    </row>
    <row r="49" spans="1:4">
      <c r="A49" t="s">
        <v>676</v>
      </c>
      <c r="B49">
        <v>-3</v>
      </c>
      <c r="C49" t="s">
        <v>881</v>
      </c>
      <c r="D49" s="2">
        <v>53544.480000000003</v>
      </c>
    </row>
    <row r="50" spans="1:4">
      <c r="A50" t="s">
        <v>882</v>
      </c>
      <c r="B50">
        <v>-2</v>
      </c>
      <c r="C50" t="s">
        <v>883</v>
      </c>
      <c r="D50" s="2">
        <v>3878274.07</v>
      </c>
    </row>
    <row r="51" spans="1:4">
      <c r="A51" t="s">
        <v>884</v>
      </c>
      <c r="B51">
        <v>-8</v>
      </c>
      <c r="C51" t="s">
        <v>885</v>
      </c>
      <c r="D51" s="2">
        <v>3878274.07</v>
      </c>
    </row>
    <row r="52" spans="1:4">
      <c r="A52" t="s">
        <v>886</v>
      </c>
      <c r="B52">
        <v>-2</v>
      </c>
      <c r="C52" t="s">
        <v>887</v>
      </c>
      <c r="D52" s="2">
        <v>3878274.07</v>
      </c>
    </row>
    <row r="53" spans="1:4">
      <c r="A53" t="s">
        <v>302</v>
      </c>
      <c r="B53">
        <v>-2</v>
      </c>
      <c r="C53" t="s">
        <v>303</v>
      </c>
      <c r="D53" s="2">
        <v>5857.99</v>
      </c>
    </row>
    <row r="54" spans="1:4">
      <c r="A54" t="s">
        <v>304</v>
      </c>
      <c r="B54">
        <v>-7</v>
      </c>
      <c r="C54" t="s">
        <v>303</v>
      </c>
      <c r="D54" s="2">
        <v>5857.99</v>
      </c>
    </row>
    <row r="55" spans="1:4">
      <c r="A55" t="s">
        <v>305</v>
      </c>
      <c r="B55">
        <v>-4</v>
      </c>
      <c r="C55" t="s">
        <v>888</v>
      </c>
      <c r="D55" s="2">
        <v>5857.99</v>
      </c>
    </row>
    <row r="56" spans="1:4">
      <c r="A56">
        <v>2</v>
      </c>
      <c r="B56">
        <v>-3</v>
      </c>
      <c r="C56" t="s">
        <v>621</v>
      </c>
      <c r="D56" s="2">
        <v>2052857494.0799999</v>
      </c>
    </row>
    <row r="57" spans="1:4">
      <c r="A57" t="s">
        <v>321</v>
      </c>
      <c r="B57">
        <v>0</v>
      </c>
      <c r="C57" t="s">
        <v>28</v>
      </c>
      <c r="D57" s="2">
        <v>2052857494.0799999</v>
      </c>
    </row>
    <row r="58" spans="1:4">
      <c r="A58" t="s">
        <v>29</v>
      </c>
      <c r="B58">
        <v>-7</v>
      </c>
      <c r="C58" t="s">
        <v>30</v>
      </c>
      <c r="D58" s="2">
        <v>2052857494.0799999</v>
      </c>
    </row>
    <row r="59" spans="1:4">
      <c r="A59" t="s">
        <v>31</v>
      </c>
      <c r="B59">
        <v>0</v>
      </c>
      <c r="C59" t="s">
        <v>32</v>
      </c>
      <c r="D59" s="2">
        <v>2087333381.1500001</v>
      </c>
    </row>
    <row r="60" spans="1:4">
      <c r="A60" t="s">
        <v>268</v>
      </c>
      <c r="B60">
        <v>-2</v>
      </c>
      <c r="C60" t="s">
        <v>398</v>
      </c>
      <c r="D60" s="2">
        <v>1485670937.0699999</v>
      </c>
    </row>
    <row r="61" spans="1:4">
      <c r="A61" t="s">
        <v>269</v>
      </c>
      <c r="B61">
        <v>0</v>
      </c>
      <c r="C61" t="s">
        <v>1015</v>
      </c>
      <c r="D61" s="2">
        <v>1486623576.26</v>
      </c>
    </row>
    <row r="62" spans="1:4">
      <c r="A62" t="s">
        <v>653</v>
      </c>
      <c r="B62">
        <v>-9</v>
      </c>
      <c r="C62" t="s">
        <v>654</v>
      </c>
      <c r="D62" s="2">
        <v>-952639.19</v>
      </c>
    </row>
    <row r="63" spans="1:4">
      <c r="A63" t="s">
        <v>270</v>
      </c>
      <c r="B63">
        <v>-9</v>
      </c>
      <c r="C63" t="s">
        <v>399</v>
      </c>
      <c r="D63" s="2">
        <v>176358000</v>
      </c>
    </row>
    <row r="64" spans="1:4">
      <c r="A64" t="s">
        <v>271</v>
      </c>
      <c r="B64">
        <v>-7</v>
      </c>
      <c r="C64" t="s">
        <v>400</v>
      </c>
      <c r="D64" s="2">
        <v>176358000</v>
      </c>
    </row>
    <row r="65" spans="1:4">
      <c r="A65" t="s">
        <v>272</v>
      </c>
      <c r="B65">
        <v>-1</v>
      </c>
      <c r="C65" t="s">
        <v>401</v>
      </c>
      <c r="D65" s="2">
        <v>32683799.68</v>
      </c>
    </row>
    <row r="66" spans="1:4">
      <c r="A66" t="s">
        <v>273</v>
      </c>
      <c r="B66">
        <v>0</v>
      </c>
      <c r="C66" t="s">
        <v>402</v>
      </c>
      <c r="D66" s="2">
        <v>162276000</v>
      </c>
    </row>
    <row r="67" spans="1:4">
      <c r="A67" t="s">
        <v>274</v>
      </c>
      <c r="B67">
        <v>-8</v>
      </c>
      <c r="C67" t="s">
        <v>403</v>
      </c>
      <c r="D67" s="2">
        <v>-129592200.31999999</v>
      </c>
    </row>
    <row r="68" spans="1:4">
      <c r="A68" t="s">
        <v>275</v>
      </c>
      <c r="B68">
        <v>-8</v>
      </c>
      <c r="C68" t="s">
        <v>276</v>
      </c>
      <c r="D68" s="2">
        <v>146024147.78</v>
      </c>
    </row>
    <row r="69" spans="1:4">
      <c r="A69" t="s">
        <v>278</v>
      </c>
      <c r="B69">
        <v>-4</v>
      </c>
      <c r="C69" t="s">
        <v>404</v>
      </c>
      <c r="D69" s="2">
        <v>23111134.75</v>
      </c>
    </row>
    <row r="70" spans="1:4">
      <c r="A70" t="s">
        <v>279</v>
      </c>
      <c r="B70">
        <v>-2</v>
      </c>
      <c r="C70" t="s">
        <v>405</v>
      </c>
      <c r="D70" s="2">
        <v>6993684.9100000001</v>
      </c>
    </row>
    <row r="71" spans="1:4">
      <c r="A71" t="s">
        <v>406</v>
      </c>
      <c r="B71">
        <v>0</v>
      </c>
      <c r="C71" t="s">
        <v>407</v>
      </c>
      <c r="D71" s="2">
        <v>39408512.359999999</v>
      </c>
    </row>
    <row r="72" spans="1:4">
      <c r="A72" t="s">
        <v>280</v>
      </c>
      <c r="B72">
        <v>0</v>
      </c>
      <c r="C72" t="s">
        <v>408</v>
      </c>
      <c r="D72" s="2">
        <v>1874310.73</v>
      </c>
    </row>
    <row r="73" spans="1:4">
      <c r="A73" t="s">
        <v>281</v>
      </c>
      <c r="B73">
        <v>-9</v>
      </c>
      <c r="C73" t="s">
        <v>409</v>
      </c>
      <c r="D73" s="2">
        <v>2.5</v>
      </c>
    </row>
    <row r="74" spans="1:4">
      <c r="A74" t="s">
        <v>282</v>
      </c>
      <c r="B74">
        <v>-7</v>
      </c>
      <c r="C74" t="s">
        <v>410</v>
      </c>
      <c r="D74" s="2">
        <v>32684684.059999999</v>
      </c>
    </row>
    <row r="75" spans="1:4">
      <c r="A75" t="s">
        <v>284</v>
      </c>
      <c r="B75">
        <v>-1</v>
      </c>
      <c r="C75" t="s">
        <v>412</v>
      </c>
      <c r="D75" s="2">
        <v>37404565.130000003</v>
      </c>
    </row>
    <row r="76" spans="1:4">
      <c r="A76" t="s">
        <v>413</v>
      </c>
      <c r="B76">
        <v>0</v>
      </c>
      <c r="C76" t="s">
        <v>1016</v>
      </c>
      <c r="D76" s="2">
        <v>1010953.34</v>
      </c>
    </row>
    <row r="77" spans="1:4">
      <c r="A77" t="s">
        <v>690</v>
      </c>
      <c r="B77">
        <v>0</v>
      </c>
      <c r="C77" t="s">
        <v>889</v>
      </c>
      <c r="D77" s="2">
        <v>3536300</v>
      </c>
    </row>
    <row r="78" spans="1:4">
      <c r="A78" t="s">
        <v>285</v>
      </c>
      <c r="B78">
        <v>-4</v>
      </c>
      <c r="C78" t="s">
        <v>415</v>
      </c>
      <c r="D78" s="2">
        <v>79281286</v>
      </c>
    </row>
    <row r="79" spans="1:4">
      <c r="A79" t="s">
        <v>286</v>
      </c>
      <c r="B79">
        <v>-2</v>
      </c>
      <c r="C79" t="s">
        <v>416</v>
      </c>
      <c r="D79" s="2">
        <v>79281286</v>
      </c>
    </row>
    <row r="80" spans="1:4">
      <c r="A80" t="s">
        <v>287</v>
      </c>
      <c r="B80">
        <v>-7</v>
      </c>
      <c r="C80" t="s">
        <v>890</v>
      </c>
      <c r="D80" s="2">
        <v>104734212</v>
      </c>
    </row>
    <row r="81" spans="1:4">
      <c r="A81" t="s">
        <v>288</v>
      </c>
      <c r="B81">
        <v>-5</v>
      </c>
      <c r="C81" t="s">
        <v>418</v>
      </c>
      <c r="D81" s="2">
        <v>190425840</v>
      </c>
    </row>
    <row r="82" spans="1:4">
      <c r="A82" t="s">
        <v>289</v>
      </c>
      <c r="B82">
        <v>-3</v>
      </c>
      <c r="C82" t="s">
        <v>419</v>
      </c>
      <c r="D82" s="2">
        <v>-85691628</v>
      </c>
    </row>
    <row r="83" spans="1:4">
      <c r="A83" t="s">
        <v>749</v>
      </c>
      <c r="B83">
        <v>0</v>
      </c>
      <c r="C83" t="s">
        <v>891</v>
      </c>
      <c r="D83" s="2">
        <v>62580998.619999997</v>
      </c>
    </row>
    <row r="84" spans="1:4">
      <c r="A84" t="s">
        <v>751</v>
      </c>
      <c r="B84">
        <v>-8</v>
      </c>
      <c r="C84" t="s">
        <v>693</v>
      </c>
      <c r="D84" s="2">
        <v>66011000</v>
      </c>
    </row>
    <row r="85" spans="1:4">
      <c r="A85" t="s">
        <v>753</v>
      </c>
      <c r="B85">
        <v>-6</v>
      </c>
      <c r="C85" t="s">
        <v>746</v>
      </c>
      <c r="D85" s="2">
        <v>-3430001.38</v>
      </c>
    </row>
    <row r="86" spans="1:4">
      <c r="A86" t="s">
        <v>1017</v>
      </c>
      <c r="B86">
        <v>0</v>
      </c>
      <c r="C86" t="s">
        <v>1018</v>
      </c>
      <c r="D86" s="2">
        <v>-34475887.07</v>
      </c>
    </row>
    <row r="87" spans="1:4">
      <c r="A87" t="s">
        <v>1019</v>
      </c>
      <c r="B87">
        <v>-4</v>
      </c>
      <c r="C87" t="s">
        <v>1020</v>
      </c>
      <c r="D87" s="2">
        <v>-34475887.07</v>
      </c>
    </row>
    <row r="88" spans="1:4">
      <c r="A88" t="s">
        <v>1021</v>
      </c>
      <c r="B88">
        <v>-9</v>
      </c>
      <c r="C88" t="s">
        <v>1022</v>
      </c>
      <c r="D88" s="2">
        <v>-34475887.07</v>
      </c>
    </row>
    <row r="89" spans="1:4">
      <c r="A89" t="s">
        <v>322</v>
      </c>
      <c r="B89">
        <v>-8</v>
      </c>
      <c r="C89" t="s">
        <v>33</v>
      </c>
      <c r="D89" s="2">
        <v>0</v>
      </c>
    </row>
    <row r="90" spans="1:4">
      <c r="A90" t="s">
        <v>34</v>
      </c>
      <c r="B90">
        <v>0</v>
      </c>
      <c r="C90" t="s">
        <v>35</v>
      </c>
      <c r="D90" s="2">
        <v>0</v>
      </c>
    </row>
    <row r="91" spans="1:4">
      <c r="A91" t="s">
        <v>420</v>
      </c>
      <c r="B91">
        <v>-8</v>
      </c>
      <c r="C91" t="s">
        <v>421</v>
      </c>
      <c r="D91" s="2">
        <v>1500</v>
      </c>
    </row>
    <row r="92" spans="1:4">
      <c r="A92" t="s">
        <v>422</v>
      </c>
      <c r="B92">
        <v>0</v>
      </c>
      <c r="C92" t="s">
        <v>423</v>
      </c>
      <c r="D92" s="2">
        <v>1500</v>
      </c>
    </row>
    <row r="93" spans="1:4">
      <c r="A93" t="s">
        <v>424</v>
      </c>
      <c r="B93">
        <v>-9</v>
      </c>
      <c r="C93" t="s">
        <v>892</v>
      </c>
      <c r="D93" s="2">
        <v>1500</v>
      </c>
    </row>
    <row r="94" spans="1:4">
      <c r="A94" t="s">
        <v>36</v>
      </c>
      <c r="B94">
        <v>-4</v>
      </c>
      <c r="C94" t="s">
        <v>37</v>
      </c>
      <c r="D94" s="2">
        <v>-1500</v>
      </c>
    </row>
    <row r="95" spans="1:4">
      <c r="A95" t="s">
        <v>38</v>
      </c>
      <c r="B95">
        <v>0</v>
      </c>
      <c r="C95" t="s">
        <v>425</v>
      </c>
      <c r="D95" s="2">
        <v>-1500</v>
      </c>
    </row>
    <row r="96" spans="1:4">
      <c r="A96" t="s">
        <v>39</v>
      </c>
      <c r="B96">
        <v>-4</v>
      </c>
      <c r="C96" t="s">
        <v>893</v>
      </c>
      <c r="D96" s="2">
        <v>-1500</v>
      </c>
    </row>
    <row r="97" spans="1:4">
      <c r="A97">
        <v>3</v>
      </c>
      <c r="B97">
        <v>0</v>
      </c>
      <c r="C97" t="s">
        <v>625</v>
      </c>
      <c r="D97" s="2">
        <v>114218157.56</v>
      </c>
    </row>
    <row r="98" spans="1:4">
      <c r="A98" t="s">
        <v>626</v>
      </c>
      <c r="B98">
        <v>0</v>
      </c>
      <c r="C98" t="s">
        <v>625</v>
      </c>
      <c r="D98" s="2">
        <v>114218157.56</v>
      </c>
    </row>
    <row r="99" spans="1:4">
      <c r="A99" t="s">
        <v>627</v>
      </c>
      <c r="B99">
        <v>-3</v>
      </c>
      <c r="C99" t="s">
        <v>628</v>
      </c>
      <c r="D99" s="2">
        <v>114218157.56</v>
      </c>
    </row>
    <row r="100" spans="1:4">
      <c r="A100" t="s">
        <v>629</v>
      </c>
      <c r="B100">
        <v>-7</v>
      </c>
      <c r="C100" t="s">
        <v>630</v>
      </c>
      <c r="D100" s="2">
        <v>114218157.56</v>
      </c>
    </row>
    <row r="101" spans="1:4">
      <c r="A101" t="s">
        <v>631</v>
      </c>
      <c r="B101">
        <v>-3</v>
      </c>
      <c r="C101" t="s">
        <v>630</v>
      </c>
      <c r="D101" s="2">
        <v>114218157.56</v>
      </c>
    </row>
    <row r="102" spans="1:4">
      <c r="A102" t="s">
        <v>632</v>
      </c>
      <c r="B102">
        <v>-8</v>
      </c>
      <c r="C102" t="s">
        <v>633</v>
      </c>
      <c r="D102" s="2">
        <v>42865000</v>
      </c>
    </row>
    <row r="103" spans="1:4">
      <c r="A103" t="s">
        <v>634</v>
      </c>
      <c r="B103">
        <v>-6</v>
      </c>
      <c r="C103" t="s">
        <v>635</v>
      </c>
      <c r="D103" s="2">
        <v>71353157.560000002</v>
      </c>
    </row>
    <row r="104" spans="1:4">
      <c r="A104">
        <v>8</v>
      </c>
      <c r="B104">
        <v>-1</v>
      </c>
      <c r="C104" t="s">
        <v>40</v>
      </c>
      <c r="D104" s="2">
        <v>320368802.38</v>
      </c>
    </row>
    <row r="105" spans="1:4">
      <c r="A105" t="s">
        <v>41</v>
      </c>
      <c r="B105">
        <v>-9</v>
      </c>
      <c r="C105" t="s">
        <v>42</v>
      </c>
      <c r="D105" s="2">
        <v>288326842.72000003</v>
      </c>
    </row>
    <row r="106" spans="1:4">
      <c r="A106" t="s">
        <v>334</v>
      </c>
      <c r="B106">
        <v>-8</v>
      </c>
      <c r="C106" t="s">
        <v>43</v>
      </c>
      <c r="D106" s="2">
        <v>230349612.99000001</v>
      </c>
    </row>
    <row r="107" spans="1:4">
      <c r="A107" t="s">
        <v>44</v>
      </c>
      <c r="B107">
        <v>-5</v>
      </c>
      <c r="C107" t="s">
        <v>45</v>
      </c>
      <c r="D107" s="2">
        <v>230349612.99000001</v>
      </c>
    </row>
    <row r="108" spans="1:4">
      <c r="A108" t="s">
        <v>46</v>
      </c>
      <c r="B108">
        <v>0</v>
      </c>
      <c r="C108" t="s">
        <v>47</v>
      </c>
      <c r="D108" s="2">
        <v>230349612.99000001</v>
      </c>
    </row>
    <row r="109" spans="1:4">
      <c r="A109" t="s">
        <v>49</v>
      </c>
      <c r="B109">
        <v>-3</v>
      </c>
      <c r="C109" t="s">
        <v>1023</v>
      </c>
      <c r="D109" s="2">
        <v>20906999.82</v>
      </c>
    </row>
    <row r="110" spans="1:4">
      <c r="A110" t="s">
        <v>50</v>
      </c>
      <c r="B110">
        <v>-2</v>
      </c>
      <c r="C110" t="s">
        <v>1024</v>
      </c>
      <c r="D110" s="2">
        <v>13775086.5</v>
      </c>
    </row>
    <row r="111" spans="1:4">
      <c r="A111" t="s">
        <v>1025</v>
      </c>
      <c r="B111">
        <v>0</v>
      </c>
      <c r="C111" t="s">
        <v>1026</v>
      </c>
      <c r="D111" s="2">
        <v>137242051.50999999</v>
      </c>
    </row>
    <row r="112" spans="1:4">
      <c r="A112" t="s">
        <v>1027</v>
      </c>
      <c r="B112">
        <v>-9</v>
      </c>
      <c r="C112" t="s">
        <v>1028</v>
      </c>
      <c r="D112" s="2">
        <v>43848670.549999997</v>
      </c>
    </row>
    <row r="113" spans="1:4">
      <c r="A113" t="s">
        <v>1029</v>
      </c>
      <c r="B113">
        <v>-7</v>
      </c>
      <c r="C113" t="s">
        <v>1030</v>
      </c>
      <c r="D113" s="2">
        <v>33671.15</v>
      </c>
    </row>
    <row r="114" spans="1:4">
      <c r="A114" t="s">
        <v>1031</v>
      </c>
      <c r="B114">
        <v>-5</v>
      </c>
      <c r="C114" t="s">
        <v>1032</v>
      </c>
      <c r="D114" s="2">
        <v>1313609.95</v>
      </c>
    </row>
    <row r="115" spans="1:4">
      <c r="A115" t="s">
        <v>1033</v>
      </c>
      <c r="B115">
        <v>-1</v>
      </c>
      <c r="C115" t="s">
        <v>1034</v>
      </c>
      <c r="D115" s="2">
        <v>10080779.98</v>
      </c>
    </row>
    <row r="116" spans="1:4">
      <c r="A116" t="s">
        <v>1035</v>
      </c>
      <c r="B116">
        <v>0</v>
      </c>
      <c r="C116" t="s">
        <v>1036</v>
      </c>
      <c r="D116" s="2">
        <v>421748.44</v>
      </c>
    </row>
    <row r="117" spans="1:4">
      <c r="A117" t="s">
        <v>1037</v>
      </c>
      <c r="B117">
        <v>-8</v>
      </c>
      <c r="C117" t="s">
        <v>1038</v>
      </c>
      <c r="D117" s="2">
        <v>651422.4</v>
      </c>
    </row>
    <row r="118" spans="1:4">
      <c r="A118" t="s">
        <v>1039</v>
      </c>
      <c r="B118">
        <v>-6</v>
      </c>
      <c r="C118" t="s">
        <v>1040</v>
      </c>
      <c r="D118" s="2">
        <v>2075572.69</v>
      </c>
    </row>
    <row r="119" spans="1:4">
      <c r="A119" t="s">
        <v>51</v>
      </c>
      <c r="B119">
        <v>-6</v>
      </c>
      <c r="C119" t="s">
        <v>52</v>
      </c>
      <c r="D119" s="2">
        <v>14775312.08</v>
      </c>
    </row>
    <row r="120" spans="1:4">
      <c r="A120" t="s">
        <v>53</v>
      </c>
      <c r="B120">
        <v>0</v>
      </c>
      <c r="C120" t="s">
        <v>54</v>
      </c>
      <c r="D120" s="2">
        <v>25918.45</v>
      </c>
    </row>
    <row r="121" spans="1:4">
      <c r="A121" t="s">
        <v>55</v>
      </c>
      <c r="B121">
        <v>-1</v>
      </c>
      <c r="C121" t="s">
        <v>54</v>
      </c>
      <c r="D121" s="2">
        <v>25918.45</v>
      </c>
    </row>
    <row r="122" spans="1:4">
      <c r="A122" t="s">
        <v>56</v>
      </c>
      <c r="B122">
        <v>0</v>
      </c>
      <c r="C122" t="s">
        <v>801</v>
      </c>
      <c r="D122" s="2">
        <v>25918.45</v>
      </c>
    </row>
    <row r="123" spans="1:4">
      <c r="A123" t="s">
        <v>57</v>
      </c>
      <c r="B123">
        <v>-3</v>
      </c>
      <c r="C123" t="s">
        <v>58</v>
      </c>
      <c r="D123" s="2">
        <v>255681.24</v>
      </c>
    </row>
    <row r="124" spans="1:4">
      <c r="A124" t="s">
        <v>59</v>
      </c>
      <c r="B124">
        <v>-5</v>
      </c>
      <c r="C124" t="s">
        <v>58</v>
      </c>
      <c r="D124" s="2">
        <v>255681.24</v>
      </c>
    </row>
    <row r="125" spans="1:4">
      <c r="A125" t="s">
        <v>60</v>
      </c>
      <c r="B125">
        <v>-3</v>
      </c>
      <c r="C125" t="s">
        <v>58</v>
      </c>
      <c r="D125" s="2">
        <v>255681.24</v>
      </c>
    </row>
    <row r="126" spans="1:4">
      <c r="A126" t="s">
        <v>61</v>
      </c>
      <c r="B126">
        <v>-6</v>
      </c>
      <c r="C126" t="s">
        <v>62</v>
      </c>
      <c r="D126" s="2">
        <v>3062158.43</v>
      </c>
    </row>
    <row r="127" spans="1:4">
      <c r="A127" t="s">
        <v>63</v>
      </c>
      <c r="B127">
        <v>-3</v>
      </c>
      <c r="C127" t="s">
        <v>802</v>
      </c>
      <c r="D127" s="2">
        <v>3062158.43</v>
      </c>
    </row>
    <row r="128" spans="1:4">
      <c r="A128" t="s">
        <v>64</v>
      </c>
      <c r="B128">
        <v>-1</v>
      </c>
      <c r="C128" t="s">
        <v>803</v>
      </c>
      <c r="D128" s="2">
        <v>1891081.36</v>
      </c>
    </row>
    <row r="129" spans="1:4">
      <c r="A129" t="s">
        <v>65</v>
      </c>
      <c r="B129">
        <v>0</v>
      </c>
      <c r="C129" t="s">
        <v>804</v>
      </c>
      <c r="D129" s="2">
        <v>199366.42</v>
      </c>
    </row>
    <row r="130" spans="1:4">
      <c r="A130" t="s">
        <v>66</v>
      </c>
      <c r="B130">
        <v>-8</v>
      </c>
      <c r="C130" t="s">
        <v>805</v>
      </c>
      <c r="D130" s="2">
        <v>574947.17000000004</v>
      </c>
    </row>
    <row r="131" spans="1:4">
      <c r="A131" t="s">
        <v>67</v>
      </c>
      <c r="B131">
        <v>-4</v>
      </c>
      <c r="C131" t="s">
        <v>896</v>
      </c>
      <c r="D131" s="2">
        <v>147154.07</v>
      </c>
    </row>
    <row r="132" spans="1:4">
      <c r="A132" t="s">
        <v>68</v>
      </c>
      <c r="B132">
        <v>0</v>
      </c>
      <c r="C132" t="s">
        <v>806</v>
      </c>
      <c r="D132" s="2">
        <v>44904</v>
      </c>
    </row>
    <row r="133" spans="1:4">
      <c r="A133" t="s">
        <v>438</v>
      </c>
      <c r="B133">
        <v>0</v>
      </c>
      <c r="C133" t="s">
        <v>807</v>
      </c>
      <c r="D133" s="2">
        <v>37300.35</v>
      </c>
    </row>
    <row r="134" spans="1:4">
      <c r="A134" t="s">
        <v>440</v>
      </c>
      <c r="B134">
        <v>-9</v>
      </c>
      <c r="C134" t="s">
        <v>808</v>
      </c>
      <c r="D134" s="2">
        <v>9602.9599999999991</v>
      </c>
    </row>
    <row r="135" spans="1:4">
      <c r="A135" t="s">
        <v>442</v>
      </c>
      <c r="B135">
        <v>-7</v>
      </c>
      <c r="C135" t="s">
        <v>809</v>
      </c>
      <c r="D135" s="2">
        <v>29683.919999999998</v>
      </c>
    </row>
    <row r="136" spans="1:4">
      <c r="A136" t="s">
        <v>444</v>
      </c>
      <c r="B136">
        <v>-5</v>
      </c>
      <c r="C136" t="s">
        <v>810</v>
      </c>
      <c r="D136" s="2">
        <v>10414.31</v>
      </c>
    </row>
    <row r="137" spans="1:4">
      <c r="A137" t="s">
        <v>69</v>
      </c>
      <c r="B137">
        <v>-3</v>
      </c>
      <c r="C137" t="s">
        <v>811</v>
      </c>
      <c r="D137" s="2">
        <v>30852.19</v>
      </c>
    </row>
    <row r="138" spans="1:4">
      <c r="A138" t="s">
        <v>70</v>
      </c>
      <c r="B138">
        <v>-1</v>
      </c>
      <c r="C138" t="s">
        <v>948</v>
      </c>
      <c r="D138" s="2">
        <v>64239.23</v>
      </c>
    </row>
    <row r="139" spans="1:4">
      <c r="A139" t="s">
        <v>71</v>
      </c>
      <c r="B139">
        <v>0</v>
      </c>
      <c r="C139" t="s">
        <v>812</v>
      </c>
      <c r="D139" s="2">
        <v>22612.45</v>
      </c>
    </row>
    <row r="140" spans="1:4">
      <c r="A140" t="s">
        <v>72</v>
      </c>
      <c r="B140">
        <v>-8</v>
      </c>
      <c r="C140" t="s">
        <v>73</v>
      </c>
      <c r="D140" s="2">
        <v>107688.12</v>
      </c>
    </row>
    <row r="141" spans="1:4">
      <c r="A141" t="s">
        <v>74</v>
      </c>
      <c r="B141">
        <v>0</v>
      </c>
      <c r="C141" t="s">
        <v>813</v>
      </c>
      <c r="D141" s="2">
        <v>107688.12</v>
      </c>
    </row>
    <row r="142" spans="1:4">
      <c r="A142" t="s">
        <v>76</v>
      </c>
      <c r="B142">
        <v>-8</v>
      </c>
      <c r="C142" t="s">
        <v>814</v>
      </c>
      <c r="D142" s="2">
        <v>107688.12</v>
      </c>
    </row>
    <row r="143" spans="1:4">
      <c r="A143" t="s">
        <v>77</v>
      </c>
      <c r="B143">
        <v>-5</v>
      </c>
      <c r="C143" t="s">
        <v>78</v>
      </c>
      <c r="D143" s="2">
        <v>887727</v>
      </c>
    </row>
    <row r="144" spans="1:4">
      <c r="A144" t="s">
        <v>79</v>
      </c>
      <c r="B144">
        <v>-3</v>
      </c>
      <c r="C144" t="s">
        <v>1041</v>
      </c>
      <c r="D144" s="2">
        <v>887727</v>
      </c>
    </row>
    <row r="145" spans="1:4">
      <c r="A145" t="s">
        <v>80</v>
      </c>
      <c r="B145">
        <v>-1</v>
      </c>
      <c r="C145" t="s">
        <v>897</v>
      </c>
      <c r="D145" s="2">
        <v>19250.259999999998</v>
      </c>
    </row>
    <row r="146" spans="1:4">
      <c r="A146" t="s">
        <v>81</v>
      </c>
      <c r="B146">
        <v>-8</v>
      </c>
      <c r="C146" t="s">
        <v>815</v>
      </c>
      <c r="D146" s="2">
        <v>259438</v>
      </c>
    </row>
    <row r="147" spans="1:4">
      <c r="A147" t="s">
        <v>1042</v>
      </c>
      <c r="B147">
        <v>0</v>
      </c>
      <c r="C147" t="s">
        <v>1043</v>
      </c>
      <c r="D147" s="2">
        <v>1191.45</v>
      </c>
    </row>
    <row r="148" spans="1:4">
      <c r="A148" t="s">
        <v>898</v>
      </c>
      <c r="B148">
        <v>-9</v>
      </c>
      <c r="C148" t="s">
        <v>1044</v>
      </c>
      <c r="D148" s="2">
        <v>607847.29</v>
      </c>
    </row>
    <row r="149" spans="1:4">
      <c r="A149" t="s">
        <v>82</v>
      </c>
      <c r="B149">
        <v>-7</v>
      </c>
      <c r="C149" t="s">
        <v>83</v>
      </c>
      <c r="D149" s="2">
        <v>1905683.21</v>
      </c>
    </row>
    <row r="150" spans="1:4">
      <c r="A150" t="s">
        <v>84</v>
      </c>
      <c r="B150">
        <v>-5</v>
      </c>
      <c r="C150" t="s">
        <v>816</v>
      </c>
      <c r="D150" s="2">
        <v>306301.55</v>
      </c>
    </row>
    <row r="151" spans="1:4">
      <c r="A151" t="s">
        <v>85</v>
      </c>
      <c r="B151">
        <v>-3</v>
      </c>
      <c r="C151" t="s">
        <v>817</v>
      </c>
      <c r="D151" s="2">
        <v>286562.59000000003</v>
      </c>
    </row>
    <row r="152" spans="1:4">
      <c r="A152" t="s">
        <v>86</v>
      </c>
      <c r="B152">
        <v>-1</v>
      </c>
      <c r="C152" t="s">
        <v>818</v>
      </c>
      <c r="D152" s="2">
        <v>19738.96</v>
      </c>
    </row>
    <row r="153" spans="1:4">
      <c r="A153" t="s">
        <v>87</v>
      </c>
      <c r="B153">
        <v>-7</v>
      </c>
      <c r="C153" t="s">
        <v>819</v>
      </c>
      <c r="D153" s="2">
        <v>1013678.03</v>
      </c>
    </row>
    <row r="154" spans="1:4">
      <c r="A154" t="s">
        <v>88</v>
      </c>
      <c r="B154">
        <v>-5</v>
      </c>
      <c r="C154" t="s">
        <v>820</v>
      </c>
      <c r="D154" s="2">
        <v>1013678.03</v>
      </c>
    </row>
    <row r="155" spans="1:4">
      <c r="A155" t="s">
        <v>89</v>
      </c>
      <c r="B155">
        <v>-2</v>
      </c>
      <c r="C155" t="s">
        <v>821</v>
      </c>
      <c r="D155" s="2">
        <v>428604.79</v>
      </c>
    </row>
    <row r="156" spans="1:4">
      <c r="A156" t="s">
        <v>637</v>
      </c>
      <c r="B156">
        <v>0</v>
      </c>
      <c r="C156" t="s">
        <v>822</v>
      </c>
      <c r="D156" s="2">
        <v>404796.91</v>
      </c>
    </row>
    <row r="157" spans="1:4">
      <c r="A157" t="s">
        <v>90</v>
      </c>
      <c r="B157">
        <v>-9</v>
      </c>
      <c r="C157" t="s">
        <v>823</v>
      </c>
      <c r="D157" s="2">
        <v>23807.88</v>
      </c>
    </row>
    <row r="158" spans="1:4">
      <c r="A158" t="s">
        <v>91</v>
      </c>
      <c r="B158">
        <v>0</v>
      </c>
      <c r="C158" t="s">
        <v>824</v>
      </c>
      <c r="D158" s="2">
        <v>157098.84</v>
      </c>
    </row>
    <row r="159" spans="1:4">
      <c r="A159" t="s">
        <v>92</v>
      </c>
      <c r="B159">
        <v>-9</v>
      </c>
      <c r="C159" t="s">
        <v>825</v>
      </c>
      <c r="D159" s="2">
        <v>157098.84</v>
      </c>
    </row>
    <row r="160" spans="1:4">
      <c r="A160" t="s">
        <v>93</v>
      </c>
      <c r="B160">
        <v>0</v>
      </c>
      <c r="C160" t="s">
        <v>94</v>
      </c>
      <c r="D160" s="2">
        <v>3924615.52</v>
      </c>
    </row>
    <row r="161" spans="1:4">
      <c r="A161" t="s">
        <v>95</v>
      </c>
      <c r="B161">
        <v>-2</v>
      </c>
      <c r="C161" t="s">
        <v>94</v>
      </c>
      <c r="D161" s="2">
        <v>3924615.52</v>
      </c>
    </row>
    <row r="162" spans="1:4">
      <c r="A162" t="s">
        <v>96</v>
      </c>
      <c r="B162">
        <v>0</v>
      </c>
      <c r="C162" t="s">
        <v>826</v>
      </c>
      <c r="D162" s="2">
        <v>1074100</v>
      </c>
    </row>
    <row r="163" spans="1:4">
      <c r="A163" t="s">
        <v>97</v>
      </c>
      <c r="B163">
        <v>-9</v>
      </c>
      <c r="C163" t="s">
        <v>827</v>
      </c>
      <c r="D163" s="2">
        <v>1424834.65</v>
      </c>
    </row>
    <row r="164" spans="1:4">
      <c r="A164" t="s">
        <v>98</v>
      </c>
      <c r="B164">
        <v>-7</v>
      </c>
      <c r="C164" t="s">
        <v>900</v>
      </c>
      <c r="D164" s="2">
        <v>42742.81</v>
      </c>
    </row>
    <row r="165" spans="1:4">
      <c r="A165" t="s">
        <v>99</v>
      </c>
      <c r="B165">
        <v>-5</v>
      </c>
      <c r="C165" t="s">
        <v>901</v>
      </c>
      <c r="D165" s="2">
        <v>69735.78</v>
      </c>
    </row>
    <row r="166" spans="1:4">
      <c r="A166" t="s">
        <v>100</v>
      </c>
      <c r="B166">
        <v>-1</v>
      </c>
      <c r="C166" t="s">
        <v>828</v>
      </c>
      <c r="D166" s="2">
        <v>820586.71</v>
      </c>
    </row>
    <row r="167" spans="1:4">
      <c r="A167" t="s">
        <v>101</v>
      </c>
      <c r="B167">
        <v>-8</v>
      </c>
      <c r="C167" t="s">
        <v>829</v>
      </c>
      <c r="D167" s="2">
        <v>43236.51</v>
      </c>
    </row>
    <row r="168" spans="1:4">
      <c r="A168" t="s">
        <v>102</v>
      </c>
      <c r="B168">
        <v>-4</v>
      </c>
      <c r="C168" t="s">
        <v>830</v>
      </c>
      <c r="D168" s="2">
        <v>265394.40000000002</v>
      </c>
    </row>
    <row r="169" spans="1:4">
      <c r="A169" t="s">
        <v>103</v>
      </c>
      <c r="B169">
        <v>-2</v>
      </c>
      <c r="C169" t="s">
        <v>831</v>
      </c>
      <c r="D169" s="2">
        <v>35864.04</v>
      </c>
    </row>
    <row r="170" spans="1:4">
      <c r="A170" t="s">
        <v>104</v>
      </c>
      <c r="B170">
        <v>0</v>
      </c>
      <c r="C170" t="s">
        <v>902</v>
      </c>
      <c r="D170" s="2">
        <v>48254.87</v>
      </c>
    </row>
    <row r="171" spans="1:4">
      <c r="A171" t="s">
        <v>105</v>
      </c>
      <c r="B171">
        <v>-9</v>
      </c>
      <c r="C171" t="s">
        <v>903</v>
      </c>
      <c r="D171" s="2">
        <v>12.25</v>
      </c>
    </row>
    <row r="172" spans="1:4">
      <c r="A172" t="s">
        <v>475</v>
      </c>
      <c r="B172">
        <v>-1</v>
      </c>
      <c r="C172" t="s">
        <v>1045</v>
      </c>
      <c r="D172" s="2">
        <v>99853.5</v>
      </c>
    </row>
    <row r="173" spans="1:4">
      <c r="A173" t="s">
        <v>604</v>
      </c>
      <c r="B173">
        <v>-4</v>
      </c>
      <c r="C173" t="s">
        <v>949</v>
      </c>
      <c r="D173" s="2">
        <v>23428</v>
      </c>
    </row>
    <row r="174" spans="1:4">
      <c r="A174" t="s">
        <v>950</v>
      </c>
      <c r="B174">
        <v>0</v>
      </c>
      <c r="C174" t="s">
        <v>1046</v>
      </c>
      <c r="D174" s="2">
        <v>23428</v>
      </c>
    </row>
    <row r="175" spans="1:4">
      <c r="A175" t="s">
        <v>952</v>
      </c>
      <c r="B175">
        <v>0</v>
      </c>
      <c r="C175" t="s">
        <v>1047</v>
      </c>
      <c r="D175" s="2">
        <v>23428</v>
      </c>
    </row>
    <row r="176" spans="1:4">
      <c r="A176" t="s">
        <v>1048</v>
      </c>
      <c r="B176">
        <v>-7</v>
      </c>
      <c r="C176" t="s">
        <v>1049</v>
      </c>
      <c r="D176" s="2">
        <v>111766.69</v>
      </c>
    </row>
    <row r="177" spans="1:4">
      <c r="A177" t="s">
        <v>1050</v>
      </c>
      <c r="B177">
        <v>-9</v>
      </c>
      <c r="C177" t="s">
        <v>1051</v>
      </c>
      <c r="D177" s="2">
        <v>111766.69</v>
      </c>
    </row>
    <row r="178" spans="1:4">
      <c r="A178" t="s">
        <v>1052</v>
      </c>
      <c r="B178">
        <v>-7</v>
      </c>
      <c r="C178" t="s">
        <v>1051</v>
      </c>
      <c r="D178" s="2">
        <v>111766.69</v>
      </c>
    </row>
    <row r="179" spans="1:4">
      <c r="A179" t="s">
        <v>754</v>
      </c>
      <c r="B179">
        <v>-6</v>
      </c>
      <c r="C179" t="s">
        <v>832</v>
      </c>
      <c r="D179" s="2">
        <v>93620.64</v>
      </c>
    </row>
    <row r="180" spans="1:4">
      <c r="A180" t="s">
        <v>755</v>
      </c>
      <c r="B180">
        <v>-1</v>
      </c>
      <c r="C180" t="s">
        <v>832</v>
      </c>
      <c r="D180" s="2">
        <v>93620.64</v>
      </c>
    </row>
    <row r="181" spans="1:4">
      <c r="A181" t="s">
        <v>756</v>
      </c>
      <c r="B181">
        <v>0</v>
      </c>
      <c r="C181" t="s">
        <v>789</v>
      </c>
      <c r="D181" s="2">
        <v>93620.64</v>
      </c>
    </row>
    <row r="182" spans="1:4">
      <c r="A182" t="s">
        <v>106</v>
      </c>
      <c r="B182">
        <v>-8</v>
      </c>
      <c r="C182" t="s">
        <v>107</v>
      </c>
      <c r="D182" s="2">
        <v>35912.519999999997</v>
      </c>
    </row>
    <row r="183" spans="1:4">
      <c r="A183" t="s">
        <v>108</v>
      </c>
      <c r="B183">
        <v>0</v>
      </c>
      <c r="C183" t="s">
        <v>833</v>
      </c>
      <c r="D183" s="2">
        <v>35912.519999999997</v>
      </c>
    </row>
    <row r="184" spans="1:4">
      <c r="A184" t="s">
        <v>109</v>
      </c>
      <c r="B184">
        <v>-8</v>
      </c>
      <c r="C184" t="s">
        <v>834</v>
      </c>
      <c r="D184" s="2">
        <v>35912.519999999997</v>
      </c>
    </row>
    <row r="185" spans="1:4">
      <c r="A185" t="s">
        <v>110</v>
      </c>
      <c r="B185">
        <v>-1</v>
      </c>
      <c r="C185" t="s">
        <v>111</v>
      </c>
      <c r="D185" s="2">
        <v>4032176.79</v>
      </c>
    </row>
    <row r="186" spans="1:4">
      <c r="A186" t="s">
        <v>112</v>
      </c>
      <c r="B186">
        <v>-2</v>
      </c>
      <c r="C186" t="s">
        <v>1053</v>
      </c>
      <c r="D186" s="2">
        <v>4032176.79</v>
      </c>
    </row>
    <row r="187" spans="1:4">
      <c r="A187" t="s">
        <v>113</v>
      </c>
      <c r="B187">
        <v>0</v>
      </c>
      <c r="C187" t="s">
        <v>1054</v>
      </c>
      <c r="D187" s="2">
        <v>4032176.79</v>
      </c>
    </row>
    <row r="188" spans="1:4">
      <c r="A188" t="s">
        <v>114</v>
      </c>
      <c r="B188">
        <v>-9</v>
      </c>
      <c r="C188" t="s">
        <v>115</v>
      </c>
      <c r="D188" s="2">
        <v>348.56</v>
      </c>
    </row>
    <row r="189" spans="1:4">
      <c r="A189" t="s">
        <v>116</v>
      </c>
      <c r="B189">
        <v>0</v>
      </c>
      <c r="C189" t="s">
        <v>115</v>
      </c>
      <c r="D189" s="2">
        <v>348.56</v>
      </c>
    </row>
    <row r="190" spans="1:4">
      <c r="A190" t="s">
        <v>117</v>
      </c>
      <c r="B190">
        <v>-6</v>
      </c>
      <c r="C190" t="s">
        <v>678</v>
      </c>
      <c r="D190" s="2">
        <v>348.56</v>
      </c>
    </row>
    <row r="191" spans="1:4">
      <c r="A191" t="s">
        <v>118</v>
      </c>
      <c r="B191">
        <v>-4</v>
      </c>
      <c r="C191" t="s">
        <v>119</v>
      </c>
      <c r="D191" s="2">
        <v>53795.34</v>
      </c>
    </row>
    <row r="192" spans="1:4">
      <c r="A192" t="s">
        <v>120</v>
      </c>
      <c r="B192">
        <v>-5</v>
      </c>
      <c r="C192" t="s">
        <v>1055</v>
      </c>
      <c r="D192" s="2">
        <v>53795.34</v>
      </c>
    </row>
    <row r="193" spans="1:8">
      <c r="A193" t="s">
        <v>121</v>
      </c>
      <c r="B193">
        <v>-3</v>
      </c>
      <c r="C193" t="s">
        <v>1055</v>
      </c>
      <c r="D193" s="2">
        <v>53795.34</v>
      </c>
    </row>
    <row r="194" spans="1:8">
      <c r="A194" t="s">
        <v>122</v>
      </c>
      <c r="B194">
        <v>0</v>
      </c>
      <c r="C194" t="s">
        <v>123</v>
      </c>
      <c r="D194" s="2">
        <v>254791.57</v>
      </c>
    </row>
    <row r="195" spans="1:8">
      <c r="A195" t="s">
        <v>124</v>
      </c>
      <c r="B195">
        <v>-7</v>
      </c>
      <c r="C195" t="s">
        <v>835</v>
      </c>
      <c r="D195" s="2">
        <v>254791.57</v>
      </c>
      <c r="H195" t="s">
        <v>1122</v>
      </c>
    </row>
    <row r="196" spans="1:8">
      <c r="A196" t="s">
        <v>125</v>
      </c>
      <c r="B196">
        <v>-6</v>
      </c>
      <c r="C196" t="s">
        <v>1056</v>
      </c>
      <c r="D196" s="2">
        <v>254791.57</v>
      </c>
    </row>
    <row r="197" spans="1:8">
      <c r="A197" t="s">
        <v>126</v>
      </c>
      <c r="B197">
        <v>-4</v>
      </c>
      <c r="C197" t="s">
        <v>127</v>
      </c>
      <c r="D197" s="2">
        <v>34475887.07</v>
      </c>
    </row>
    <row r="198" spans="1:8">
      <c r="A198" t="s">
        <v>1057</v>
      </c>
      <c r="B198">
        <v>-5</v>
      </c>
      <c r="C198" t="s">
        <v>1058</v>
      </c>
      <c r="D198" s="2">
        <v>34475887.07</v>
      </c>
    </row>
    <row r="199" spans="1:8">
      <c r="A199" t="s">
        <v>1059</v>
      </c>
      <c r="B199">
        <v>-6</v>
      </c>
      <c r="C199" t="s">
        <v>1060</v>
      </c>
      <c r="D199" s="2">
        <v>34475887.07</v>
      </c>
    </row>
    <row r="200" spans="1:8">
      <c r="A200" t="s">
        <v>1061</v>
      </c>
      <c r="B200">
        <v>-3</v>
      </c>
      <c r="C200" t="s">
        <v>1062</v>
      </c>
      <c r="D200" s="2">
        <v>34475887.07</v>
      </c>
    </row>
    <row r="201" spans="1:8">
      <c r="A201" t="s">
        <v>337</v>
      </c>
      <c r="B201">
        <v>-2</v>
      </c>
      <c r="C201" t="s">
        <v>132</v>
      </c>
      <c r="D201" s="2">
        <v>8726030.5800000001</v>
      </c>
    </row>
    <row r="202" spans="1:8">
      <c r="A202" t="s">
        <v>133</v>
      </c>
      <c r="B202">
        <v>-3</v>
      </c>
      <c r="C202" t="s">
        <v>134</v>
      </c>
      <c r="D202" s="2">
        <v>4838077.95</v>
      </c>
    </row>
    <row r="203" spans="1:8">
      <c r="A203" t="s">
        <v>135</v>
      </c>
      <c r="B203">
        <v>-5</v>
      </c>
      <c r="C203" t="s">
        <v>134</v>
      </c>
      <c r="D203" s="2">
        <v>4838077.95</v>
      </c>
    </row>
    <row r="204" spans="1:8">
      <c r="A204" t="s">
        <v>136</v>
      </c>
      <c r="B204">
        <v>-3</v>
      </c>
      <c r="C204" t="s">
        <v>134</v>
      </c>
      <c r="D204" s="2">
        <v>4838077.95</v>
      </c>
    </row>
    <row r="205" spans="1:8">
      <c r="A205" t="s">
        <v>137</v>
      </c>
      <c r="B205">
        <v>-7</v>
      </c>
      <c r="C205" t="s">
        <v>138</v>
      </c>
      <c r="D205" s="2">
        <v>805739.05</v>
      </c>
    </row>
    <row r="206" spans="1:8">
      <c r="A206" t="s">
        <v>139</v>
      </c>
      <c r="B206">
        <v>-9</v>
      </c>
      <c r="C206" t="s">
        <v>138</v>
      </c>
      <c r="D206" s="2">
        <v>805739.05</v>
      </c>
    </row>
    <row r="207" spans="1:8">
      <c r="A207" t="s">
        <v>140</v>
      </c>
      <c r="B207">
        <v>-7</v>
      </c>
      <c r="C207" t="s">
        <v>836</v>
      </c>
      <c r="D207" s="2">
        <v>805739.05</v>
      </c>
    </row>
    <row r="208" spans="1:8">
      <c r="A208" t="s">
        <v>141</v>
      </c>
      <c r="B208">
        <v>-6</v>
      </c>
      <c r="C208" t="s">
        <v>132</v>
      </c>
      <c r="D208" s="2">
        <v>3082213.58</v>
      </c>
    </row>
    <row r="209" spans="1:4">
      <c r="A209" t="s">
        <v>142</v>
      </c>
      <c r="B209">
        <v>-3</v>
      </c>
      <c r="C209" t="s">
        <v>132</v>
      </c>
      <c r="D209" s="2">
        <v>3082213.58</v>
      </c>
    </row>
    <row r="210" spans="1:4">
      <c r="A210" t="s">
        <v>144</v>
      </c>
      <c r="B210">
        <v>-1</v>
      </c>
      <c r="C210" t="s">
        <v>837</v>
      </c>
      <c r="D210" s="2">
        <v>917.26</v>
      </c>
    </row>
    <row r="211" spans="1:4">
      <c r="A211" t="s">
        <v>501</v>
      </c>
      <c r="B211">
        <v>0</v>
      </c>
      <c r="C211" t="s">
        <v>1063</v>
      </c>
      <c r="D211" s="2">
        <v>7853.7</v>
      </c>
    </row>
    <row r="212" spans="1:4">
      <c r="A212" t="s">
        <v>338</v>
      </c>
      <c r="B212">
        <v>-8</v>
      </c>
      <c r="C212" t="s">
        <v>1064</v>
      </c>
      <c r="D212" s="2">
        <v>1984034.76</v>
      </c>
    </row>
    <row r="213" spans="1:4">
      <c r="A213" t="s">
        <v>145</v>
      </c>
      <c r="B213">
        <v>-6</v>
      </c>
      <c r="C213" t="s">
        <v>1065</v>
      </c>
      <c r="D213" s="2">
        <v>12897.18</v>
      </c>
    </row>
    <row r="214" spans="1:4">
      <c r="A214" t="s">
        <v>146</v>
      </c>
      <c r="B214">
        <v>-4</v>
      </c>
      <c r="C214" t="s">
        <v>838</v>
      </c>
      <c r="D214" s="2">
        <v>1076510.68</v>
      </c>
    </row>
    <row r="215" spans="1:4">
      <c r="A215" t="s">
        <v>147</v>
      </c>
      <c r="B215">
        <v>-7</v>
      </c>
      <c r="C215" t="s">
        <v>148</v>
      </c>
      <c r="D215" s="2">
        <v>32041959.66</v>
      </c>
    </row>
    <row r="216" spans="1:4">
      <c r="A216" t="s">
        <v>149</v>
      </c>
      <c r="B216">
        <v>0</v>
      </c>
      <c r="C216" t="s">
        <v>150</v>
      </c>
      <c r="D216" s="2">
        <v>31667586.23</v>
      </c>
    </row>
    <row r="217" spans="1:4">
      <c r="A217" t="s">
        <v>151</v>
      </c>
      <c r="B217">
        <v>-3</v>
      </c>
      <c r="C217" t="s">
        <v>150</v>
      </c>
      <c r="D217" s="2">
        <v>23278636.93</v>
      </c>
    </row>
    <row r="218" spans="1:4">
      <c r="A218" t="s">
        <v>341</v>
      </c>
      <c r="B218">
        <v>-5</v>
      </c>
      <c r="C218" t="s">
        <v>150</v>
      </c>
      <c r="D218" s="2">
        <v>23280172.079999998</v>
      </c>
    </row>
    <row r="219" spans="1:4">
      <c r="A219" t="s">
        <v>152</v>
      </c>
      <c r="B219">
        <v>-3</v>
      </c>
      <c r="C219" t="s">
        <v>150</v>
      </c>
      <c r="D219" s="2">
        <v>23280172.079999998</v>
      </c>
    </row>
    <row r="220" spans="1:4">
      <c r="A220" t="s">
        <v>153</v>
      </c>
      <c r="B220">
        <v>-6</v>
      </c>
      <c r="C220" t="s">
        <v>839</v>
      </c>
      <c r="D220" s="2">
        <v>-1535.15</v>
      </c>
    </row>
    <row r="221" spans="1:4">
      <c r="A221" t="s">
        <v>343</v>
      </c>
      <c r="B221">
        <v>-4</v>
      </c>
      <c r="C221" t="s">
        <v>840</v>
      </c>
      <c r="D221" s="2">
        <v>-1535.15</v>
      </c>
    </row>
    <row r="222" spans="1:4">
      <c r="A222" t="s">
        <v>154</v>
      </c>
      <c r="B222">
        <v>-7</v>
      </c>
      <c r="C222" t="s">
        <v>155</v>
      </c>
      <c r="D222" s="2">
        <v>8388949.3000000007</v>
      </c>
    </row>
    <row r="223" spans="1:4">
      <c r="A223" t="s">
        <v>342</v>
      </c>
      <c r="B223">
        <v>-9</v>
      </c>
      <c r="C223" t="s">
        <v>155</v>
      </c>
      <c r="D223" s="2">
        <v>8389501.9499999993</v>
      </c>
    </row>
    <row r="224" spans="1:4">
      <c r="A224" t="s">
        <v>156</v>
      </c>
      <c r="B224">
        <v>-7</v>
      </c>
      <c r="C224" t="s">
        <v>155</v>
      </c>
      <c r="D224" s="2">
        <v>8389501.9499999993</v>
      </c>
    </row>
    <row r="225" spans="1:4">
      <c r="A225" t="s">
        <v>157</v>
      </c>
      <c r="B225">
        <v>0</v>
      </c>
      <c r="C225" t="s">
        <v>841</v>
      </c>
      <c r="D225" s="2">
        <v>-552.65</v>
      </c>
    </row>
    <row r="226" spans="1:4">
      <c r="A226" t="s">
        <v>344</v>
      </c>
      <c r="B226">
        <v>-8</v>
      </c>
      <c r="C226" t="s">
        <v>842</v>
      </c>
      <c r="D226" s="2">
        <v>-552.65</v>
      </c>
    </row>
    <row r="227" spans="1:4">
      <c r="A227" t="s">
        <v>1066</v>
      </c>
      <c r="B227">
        <v>-4</v>
      </c>
      <c r="C227" t="s">
        <v>1067</v>
      </c>
      <c r="D227" s="2">
        <v>374373.43</v>
      </c>
    </row>
    <row r="228" spans="1:4">
      <c r="A228" t="s">
        <v>1068</v>
      </c>
      <c r="B228">
        <v>-8</v>
      </c>
      <c r="C228" t="s">
        <v>1067</v>
      </c>
      <c r="D228" s="2">
        <v>374373.43</v>
      </c>
    </row>
    <row r="229" spans="1:4">
      <c r="A229" t="s">
        <v>1069</v>
      </c>
      <c r="B229">
        <v>-3</v>
      </c>
      <c r="C229" t="s">
        <v>1067</v>
      </c>
      <c r="D229" s="2">
        <v>374373.43</v>
      </c>
    </row>
    <row r="230" spans="1:4">
      <c r="A230" t="s">
        <v>1070</v>
      </c>
      <c r="B230">
        <v>-9</v>
      </c>
      <c r="C230" t="s">
        <v>1071</v>
      </c>
      <c r="D230" s="2">
        <v>374373.43</v>
      </c>
    </row>
    <row r="231" spans="1:4">
      <c r="A231">
        <v>4</v>
      </c>
      <c r="B231">
        <v>-6</v>
      </c>
      <c r="C231" t="s">
        <v>345</v>
      </c>
      <c r="D231" s="2">
        <v>289788546.97000003</v>
      </c>
    </row>
    <row r="232" spans="1:4">
      <c r="A232" t="s">
        <v>158</v>
      </c>
      <c r="B232">
        <v>-1</v>
      </c>
      <c r="C232" t="s">
        <v>159</v>
      </c>
      <c r="D232" s="2">
        <v>289788546.97000003</v>
      </c>
    </row>
    <row r="233" spans="1:4">
      <c r="A233" t="s">
        <v>160</v>
      </c>
      <c r="B233">
        <v>-4</v>
      </c>
      <c r="C233" t="s">
        <v>161</v>
      </c>
      <c r="D233" s="2">
        <v>278598885.00999999</v>
      </c>
    </row>
    <row r="234" spans="1:4">
      <c r="A234" t="s">
        <v>324</v>
      </c>
      <c r="B234">
        <v>-8</v>
      </c>
      <c r="C234" t="s">
        <v>518</v>
      </c>
      <c r="D234" s="2">
        <v>15529826.710000001</v>
      </c>
    </row>
    <row r="235" spans="1:4">
      <c r="A235" t="s">
        <v>162</v>
      </c>
      <c r="B235">
        <v>0</v>
      </c>
      <c r="C235" t="s">
        <v>1072</v>
      </c>
      <c r="D235" s="2">
        <v>15529826.710000001</v>
      </c>
    </row>
    <row r="236" spans="1:4">
      <c r="A236" t="s">
        <v>301</v>
      </c>
      <c r="B236">
        <v>-8</v>
      </c>
      <c r="C236" t="s">
        <v>844</v>
      </c>
      <c r="D236" s="2">
        <v>15043056.390000001</v>
      </c>
    </row>
    <row r="237" spans="1:4">
      <c r="A237" t="s">
        <v>164</v>
      </c>
      <c r="B237">
        <v>-4</v>
      </c>
      <c r="C237" t="s">
        <v>846</v>
      </c>
      <c r="D237" s="2">
        <v>418292.25</v>
      </c>
    </row>
    <row r="238" spans="1:4">
      <c r="A238" t="s">
        <v>165</v>
      </c>
      <c r="B238">
        <v>-2</v>
      </c>
      <c r="C238" t="s">
        <v>847</v>
      </c>
      <c r="D238" s="2">
        <v>68478.070000000007</v>
      </c>
    </row>
    <row r="239" spans="1:4">
      <c r="A239" t="s">
        <v>524</v>
      </c>
      <c r="B239">
        <v>-1</v>
      </c>
      <c r="C239" t="s">
        <v>525</v>
      </c>
      <c r="D239" s="2">
        <v>77074.44</v>
      </c>
    </row>
    <row r="240" spans="1:4">
      <c r="A240" t="s">
        <v>526</v>
      </c>
      <c r="B240">
        <v>-9</v>
      </c>
      <c r="C240" t="s">
        <v>1073</v>
      </c>
      <c r="D240" s="2">
        <v>30184.83</v>
      </c>
    </row>
    <row r="241" spans="1:4">
      <c r="A241" t="s">
        <v>528</v>
      </c>
      <c r="B241">
        <v>-5</v>
      </c>
      <c r="C241" t="s">
        <v>849</v>
      </c>
      <c r="D241" s="2">
        <v>30184.83</v>
      </c>
    </row>
    <row r="242" spans="1:4">
      <c r="A242" t="s">
        <v>768</v>
      </c>
      <c r="B242">
        <v>0</v>
      </c>
      <c r="C242" t="s">
        <v>769</v>
      </c>
      <c r="D242" s="2">
        <v>46889.61</v>
      </c>
    </row>
    <row r="243" spans="1:4">
      <c r="A243" t="s">
        <v>770</v>
      </c>
      <c r="B243">
        <v>-9</v>
      </c>
      <c r="C243" t="s">
        <v>1074</v>
      </c>
      <c r="D243" s="2">
        <v>11436.49</v>
      </c>
    </row>
    <row r="244" spans="1:4">
      <c r="A244" t="s">
        <v>772</v>
      </c>
      <c r="B244">
        <v>-8</v>
      </c>
      <c r="C244" t="s">
        <v>1075</v>
      </c>
      <c r="D244" s="2">
        <v>7624.33</v>
      </c>
    </row>
    <row r="245" spans="1:4">
      <c r="A245" t="s">
        <v>774</v>
      </c>
      <c r="B245">
        <v>-6</v>
      </c>
      <c r="C245" t="s">
        <v>1076</v>
      </c>
      <c r="D245" s="2">
        <v>22872.98</v>
      </c>
    </row>
    <row r="246" spans="1:4">
      <c r="A246" t="s">
        <v>776</v>
      </c>
      <c r="B246">
        <v>-4</v>
      </c>
      <c r="C246" t="s">
        <v>1077</v>
      </c>
      <c r="D246" s="2">
        <v>4955.8100000000004</v>
      </c>
    </row>
    <row r="247" spans="1:4">
      <c r="A247" t="s">
        <v>326</v>
      </c>
      <c r="B247">
        <v>-5</v>
      </c>
      <c r="C247" t="s">
        <v>530</v>
      </c>
      <c r="D247" s="2">
        <v>262991983.86000001</v>
      </c>
    </row>
    <row r="248" spans="1:4">
      <c r="A248" t="s">
        <v>166</v>
      </c>
      <c r="B248">
        <v>-1</v>
      </c>
      <c r="C248" t="s">
        <v>167</v>
      </c>
      <c r="D248" s="2">
        <v>262991983.86000001</v>
      </c>
    </row>
    <row r="249" spans="1:4">
      <c r="A249" t="s">
        <v>168</v>
      </c>
      <c r="B249">
        <v>0</v>
      </c>
      <c r="C249" t="s">
        <v>908</v>
      </c>
      <c r="D249" s="2">
        <v>202334313.97999999</v>
      </c>
    </row>
    <row r="250" spans="1:4">
      <c r="A250" t="s">
        <v>169</v>
      </c>
      <c r="B250">
        <v>-8</v>
      </c>
      <c r="C250" t="s">
        <v>909</v>
      </c>
      <c r="D250" s="2">
        <v>60657669.880000003</v>
      </c>
    </row>
    <row r="251" spans="1:4">
      <c r="A251" t="s">
        <v>325</v>
      </c>
      <c r="B251">
        <v>-5</v>
      </c>
      <c r="C251" t="s">
        <v>170</v>
      </c>
      <c r="D251" s="2">
        <v>11189661.960000001</v>
      </c>
    </row>
    <row r="252" spans="1:4">
      <c r="A252" t="s">
        <v>171</v>
      </c>
      <c r="B252">
        <v>-6</v>
      </c>
      <c r="C252" t="s">
        <v>172</v>
      </c>
      <c r="D252" s="2">
        <v>786698.77</v>
      </c>
    </row>
    <row r="253" spans="1:4">
      <c r="A253" t="s">
        <v>173</v>
      </c>
      <c r="B253">
        <v>-8</v>
      </c>
      <c r="C253" t="s">
        <v>1078</v>
      </c>
      <c r="D253" s="2">
        <v>786698.77</v>
      </c>
    </row>
    <row r="254" spans="1:4">
      <c r="A254" t="s">
        <v>534</v>
      </c>
      <c r="B254">
        <v>-6</v>
      </c>
      <c r="C254" t="s">
        <v>851</v>
      </c>
      <c r="D254" s="2">
        <v>163934.32</v>
      </c>
    </row>
    <row r="255" spans="1:4">
      <c r="A255" t="s">
        <v>536</v>
      </c>
      <c r="B255">
        <v>-4</v>
      </c>
      <c r="C255" t="s">
        <v>852</v>
      </c>
      <c r="D255" s="2">
        <v>19346.46</v>
      </c>
    </row>
    <row r="256" spans="1:4">
      <c r="A256" t="s">
        <v>538</v>
      </c>
      <c r="B256">
        <v>-2</v>
      </c>
      <c r="C256" t="s">
        <v>853</v>
      </c>
      <c r="D256" s="2">
        <v>13477.59</v>
      </c>
    </row>
    <row r="257" spans="1:4">
      <c r="A257" t="s">
        <v>540</v>
      </c>
      <c r="B257">
        <v>0</v>
      </c>
      <c r="C257" t="s">
        <v>854</v>
      </c>
      <c r="D257" s="2">
        <v>33562.46</v>
      </c>
    </row>
    <row r="258" spans="1:4">
      <c r="A258" t="s">
        <v>174</v>
      </c>
      <c r="B258">
        <v>-9</v>
      </c>
      <c r="C258" t="s">
        <v>855</v>
      </c>
      <c r="D258" s="2">
        <v>387264.32</v>
      </c>
    </row>
    <row r="259" spans="1:4">
      <c r="A259" t="s">
        <v>175</v>
      </c>
      <c r="B259">
        <v>-7</v>
      </c>
      <c r="C259" t="s">
        <v>856</v>
      </c>
      <c r="D259" s="2">
        <v>126605.87</v>
      </c>
    </row>
    <row r="260" spans="1:4">
      <c r="A260" t="s">
        <v>176</v>
      </c>
      <c r="B260">
        <v>-5</v>
      </c>
      <c r="C260" t="s">
        <v>857</v>
      </c>
      <c r="D260" s="2">
        <v>42507.75</v>
      </c>
    </row>
    <row r="261" spans="1:4">
      <c r="A261" t="s">
        <v>545</v>
      </c>
      <c r="B261">
        <v>-7</v>
      </c>
      <c r="C261" t="s">
        <v>546</v>
      </c>
      <c r="D261" s="2">
        <v>7880643.2300000004</v>
      </c>
    </row>
    <row r="262" spans="1:4">
      <c r="A262" t="s">
        <v>1079</v>
      </c>
      <c r="B262">
        <v>-9</v>
      </c>
      <c r="C262" t="s">
        <v>1080</v>
      </c>
      <c r="D262" s="2">
        <v>7880643.2300000004</v>
      </c>
    </row>
    <row r="263" spans="1:4">
      <c r="A263" t="s">
        <v>1081</v>
      </c>
      <c r="B263">
        <v>-7</v>
      </c>
      <c r="C263" t="s">
        <v>1082</v>
      </c>
      <c r="D263" s="2">
        <v>7085620.2800000003</v>
      </c>
    </row>
    <row r="264" spans="1:4">
      <c r="A264" t="s">
        <v>1083</v>
      </c>
      <c r="B264">
        <v>-5</v>
      </c>
      <c r="C264" t="s">
        <v>1084</v>
      </c>
      <c r="D264" s="2">
        <v>795022.95</v>
      </c>
    </row>
    <row r="265" spans="1:4">
      <c r="A265" t="s">
        <v>177</v>
      </c>
      <c r="B265">
        <v>-7</v>
      </c>
      <c r="C265" t="s">
        <v>178</v>
      </c>
      <c r="D265" s="2">
        <v>2522319.96</v>
      </c>
    </row>
    <row r="266" spans="1:4">
      <c r="A266" t="s">
        <v>179</v>
      </c>
      <c r="B266">
        <v>0</v>
      </c>
      <c r="C266" t="s">
        <v>858</v>
      </c>
      <c r="D266" s="2">
        <v>2522319.96</v>
      </c>
    </row>
    <row r="267" spans="1:4">
      <c r="A267" t="s">
        <v>180</v>
      </c>
      <c r="B267">
        <v>-9</v>
      </c>
      <c r="C267" t="s">
        <v>859</v>
      </c>
      <c r="D267" s="2">
        <v>621187.51</v>
      </c>
    </row>
    <row r="268" spans="1:4">
      <c r="A268" t="s">
        <v>181</v>
      </c>
      <c r="B268">
        <v>-7</v>
      </c>
      <c r="C268" t="s">
        <v>860</v>
      </c>
      <c r="D268" s="2">
        <v>145021.51999999999</v>
      </c>
    </row>
    <row r="269" spans="1:4">
      <c r="A269" t="s">
        <v>182</v>
      </c>
      <c r="B269">
        <v>-5</v>
      </c>
      <c r="C269" t="s">
        <v>1085</v>
      </c>
      <c r="D269" s="2">
        <v>60825.33</v>
      </c>
    </row>
    <row r="270" spans="1:4">
      <c r="A270" t="s">
        <v>183</v>
      </c>
      <c r="B270">
        <v>-1</v>
      </c>
      <c r="C270" t="s">
        <v>1088</v>
      </c>
      <c r="D270" s="2">
        <v>1695285.6</v>
      </c>
    </row>
    <row r="271" spans="1:4">
      <c r="A271">
        <v>6</v>
      </c>
      <c r="B271">
        <v>-9</v>
      </c>
      <c r="C271" t="s">
        <v>184</v>
      </c>
      <c r="D271" s="2">
        <v>3483988453.98</v>
      </c>
    </row>
    <row r="272" spans="1:4">
      <c r="A272" t="s">
        <v>185</v>
      </c>
      <c r="B272">
        <v>-6</v>
      </c>
      <c r="C272" t="s">
        <v>184</v>
      </c>
      <c r="D272" s="2">
        <v>3483988453.98</v>
      </c>
    </row>
    <row r="273" spans="1:4">
      <c r="A273" t="s">
        <v>186</v>
      </c>
      <c r="B273">
        <v>-4</v>
      </c>
      <c r="C273" t="s">
        <v>187</v>
      </c>
      <c r="D273" s="2">
        <v>2903635696.5700002</v>
      </c>
    </row>
    <row r="274" spans="1:4">
      <c r="A274" t="s">
        <v>327</v>
      </c>
      <c r="B274">
        <v>-8</v>
      </c>
      <c r="C274" t="s">
        <v>188</v>
      </c>
      <c r="D274" s="2">
        <v>4000000000</v>
      </c>
    </row>
    <row r="275" spans="1:4">
      <c r="A275" t="s">
        <v>189</v>
      </c>
      <c r="B275">
        <v>-3</v>
      </c>
      <c r="C275" t="s">
        <v>190</v>
      </c>
      <c r="D275" s="2">
        <v>4000000000</v>
      </c>
    </row>
    <row r="276" spans="1:4">
      <c r="A276" t="s">
        <v>191</v>
      </c>
      <c r="B276">
        <v>-3</v>
      </c>
      <c r="C276" t="s">
        <v>188</v>
      </c>
      <c r="D276" s="2">
        <v>4000000000</v>
      </c>
    </row>
    <row r="277" spans="1:4">
      <c r="A277" t="s">
        <v>328</v>
      </c>
      <c r="B277">
        <v>-2</v>
      </c>
      <c r="C277" t="s">
        <v>192</v>
      </c>
      <c r="D277" s="2">
        <v>-1096364303.4300001</v>
      </c>
    </row>
    <row r="278" spans="1:4">
      <c r="A278" t="s">
        <v>193</v>
      </c>
      <c r="B278">
        <v>-8</v>
      </c>
      <c r="C278" t="s">
        <v>194</v>
      </c>
      <c r="D278" s="2">
        <v>-1096364303.4300001</v>
      </c>
    </row>
    <row r="279" spans="1:4">
      <c r="A279" t="s">
        <v>195</v>
      </c>
      <c r="B279">
        <v>-2</v>
      </c>
      <c r="C279" t="s">
        <v>911</v>
      </c>
      <c r="D279" s="2">
        <v>-1096364303.4300001</v>
      </c>
    </row>
    <row r="280" spans="1:4">
      <c r="A280" t="s">
        <v>330</v>
      </c>
      <c r="B280">
        <v>-7</v>
      </c>
      <c r="C280" t="s">
        <v>196</v>
      </c>
      <c r="D280" s="2">
        <v>108096367.13</v>
      </c>
    </row>
    <row r="281" spans="1:4">
      <c r="A281" t="s">
        <v>197</v>
      </c>
      <c r="B281">
        <v>0</v>
      </c>
      <c r="C281" t="s">
        <v>198</v>
      </c>
      <c r="D281" s="2">
        <v>108096367.13</v>
      </c>
    </row>
    <row r="282" spans="1:4">
      <c r="A282" t="s">
        <v>199</v>
      </c>
      <c r="B282">
        <v>-1</v>
      </c>
      <c r="C282" t="s">
        <v>198</v>
      </c>
      <c r="D282" s="2">
        <v>108096367.13</v>
      </c>
    </row>
    <row r="283" spans="1:4">
      <c r="A283" t="s">
        <v>200</v>
      </c>
      <c r="B283">
        <v>0</v>
      </c>
      <c r="C283" t="s">
        <v>198</v>
      </c>
      <c r="D283" s="2">
        <v>108096367.13</v>
      </c>
    </row>
    <row r="284" spans="1:4">
      <c r="A284" t="s">
        <v>329</v>
      </c>
      <c r="B284">
        <v>-5</v>
      </c>
      <c r="C284" t="s">
        <v>205</v>
      </c>
      <c r="D284" s="2">
        <v>383374915.06999999</v>
      </c>
    </row>
    <row r="285" spans="1:4">
      <c r="A285" t="s">
        <v>206</v>
      </c>
      <c r="B285">
        <v>-9</v>
      </c>
      <c r="C285" t="s">
        <v>207</v>
      </c>
      <c r="D285" s="2">
        <v>305225153</v>
      </c>
    </row>
    <row r="286" spans="1:4">
      <c r="A286" t="s">
        <v>208</v>
      </c>
      <c r="B286">
        <v>-4</v>
      </c>
      <c r="C286" t="s">
        <v>209</v>
      </c>
      <c r="D286" s="2">
        <v>392161098.97000003</v>
      </c>
    </row>
    <row r="287" spans="1:4">
      <c r="A287" t="s">
        <v>210</v>
      </c>
      <c r="B287">
        <v>-9</v>
      </c>
      <c r="C287" t="s">
        <v>913</v>
      </c>
      <c r="D287" s="2">
        <v>654747640</v>
      </c>
    </row>
    <row r="288" spans="1:4">
      <c r="A288" t="s">
        <v>211</v>
      </c>
      <c r="B288">
        <v>-7</v>
      </c>
      <c r="C288" t="s">
        <v>914</v>
      </c>
      <c r="D288" s="2">
        <v>-262586541.03</v>
      </c>
    </row>
    <row r="289" spans="1:4">
      <c r="A289" t="s">
        <v>213</v>
      </c>
      <c r="B289">
        <v>0</v>
      </c>
      <c r="C289" t="s">
        <v>863</v>
      </c>
      <c r="D289" s="2">
        <v>-86935945.969999999</v>
      </c>
    </row>
    <row r="290" spans="1:4">
      <c r="A290" t="s">
        <v>214</v>
      </c>
      <c r="B290">
        <v>-1</v>
      </c>
      <c r="C290" t="s">
        <v>864</v>
      </c>
      <c r="D290" s="2">
        <v>-86935945.969999999</v>
      </c>
    </row>
    <row r="291" spans="1:4">
      <c r="A291" t="s">
        <v>297</v>
      </c>
      <c r="B291">
        <v>-8</v>
      </c>
      <c r="C291" t="s">
        <v>298</v>
      </c>
      <c r="D291" s="2">
        <v>78149762.069999993</v>
      </c>
    </row>
    <row r="292" spans="1:4">
      <c r="A292" t="s">
        <v>299</v>
      </c>
      <c r="B292">
        <v>-9</v>
      </c>
      <c r="C292" t="s">
        <v>298</v>
      </c>
      <c r="D292" s="2">
        <v>64255432.509999998</v>
      </c>
    </row>
    <row r="293" spans="1:4">
      <c r="A293" t="s">
        <v>300</v>
      </c>
      <c r="B293">
        <v>-7</v>
      </c>
      <c r="C293" t="s">
        <v>1089</v>
      </c>
      <c r="D293" s="2">
        <v>64255432.509999998</v>
      </c>
    </row>
    <row r="294" spans="1:4">
      <c r="A294" t="s">
        <v>865</v>
      </c>
      <c r="B294">
        <v>-4</v>
      </c>
      <c r="C294" t="s">
        <v>866</v>
      </c>
      <c r="D294" s="2">
        <v>13894329.560000001</v>
      </c>
    </row>
    <row r="295" spans="1:4">
      <c r="A295" t="s">
        <v>867</v>
      </c>
      <c r="B295">
        <v>0</v>
      </c>
      <c r="C295" t="s">
        <v>868</v>
      </c>
      <c r="D295" s="2">
        <v>167259.56</v>
      </c>
    </row>
    <row r="296" spans="1:4">
      <c r="A296" t="s">
        <v>1090</v>
      </c>
      <c r="B296">
        <v>-9</v>
      </c>
      <c r="C296" t="s">
        <v>1091</v>
      </c>
      <c r="D296" s="2">
        <v>13727070</v>
      </c>
    </row>
    <row r="297" spans="1:4">
      <c r="A297" t="s">
        <v>679</v>
      </c>
      <c r="B297">
        <v>-1</v>
      </c>
      <c r="C297" t="s">
        <v>680</v>
      </c>
      <c r="D297" s="2">
        <v>88881475.209999993</v>
      </c>
    </row>
    <row r="298" spans="1:4">
      <c r="A298" t="s">
        <v>681</v>
      </c>
      <c r="B298">
        <v>-5</v>
      </c>
      <c r="C298" t="s">
        <v>680</v>
      </c>
      <c r="D298" s="2">
        <v>88881475.209999993</v>
      </c>
    </row>
    <row r="299" spans="1:4">
      <c r="A299" t="s">
        <v>682</v>
      </c>
      <c r="B299">
        <v>0</v>
      </c>
      <c r="C299" t="s">
        <v>680</v>
      </c>
      <c r="D299" s="2">
        <v>88881475.209999993</v>
      </c>
    </row>
    <row r="300" spans="1:4">
      <c r="A300" t="s">
        <v>683</v>
      </c>
      <c r="B300">
        <v>-5</v>
      </c>
      <c r="C300" t="s">
        <v>684</v>
      </c>
      <c r="D300" s="2">
        <v>88881475.209999993</v>
      </c>
    </row>
    <row r="301" spans="1:4">
      <c r="A301">
        <v>7</v>
      </c>
      <c r="B301">
        <v>-5</v>
      </c>
      <c r="C301" t="s">
        <v>215</v>
      </c>
      <c r="D301" s="2">
        <v>231487327.16999999</v>
      </c>
    </row>
    <row r="302" spans="1:4">
      <c r="A302" t="s">
        <v>216</v>
      </c>
      <c r="B302">
        <v>-2</v>
      </c>
      <c r="C302" t="s">
        <v>217</v>
      </c>
      <c r="D302" s="2">
        <v>231487327.16999999</v>
      </c>
    </row>
    <row r="303" spans="1:4">
      <c r="A303" t="s">
        <v>339</v>
      </c>
      <c r="B303">
        <v>-5</v>
      </c>
      <c r="C303" t="s">
        <v>218</v>
      </c>
      <c r="D303" s="2">
        <v>14465833.75</v>
      </c>
    </row>
    <row r="304" spans="1:4">
      <c r="A304" t="s">
        <v>219</v>
      </c>
      <c r="B304">
        <v>-9</v>
      </c>
      <c r="C304" t="s">
        <v>220</v>
      </c>
      <c r="D304" s="2">
        <v>14465833.75</v>
      </c>
    </row>
    <row r="305" spans="1:4">
      <c r="A305" t="s">
        <v>221</v>
      </c>
      <c r="B305">
        <v>0</v>
      </c>
      <c r="C305" t="s">
        <v>916</v>
      </c>
      <c r="D305" s="2">
        <v>14465833.75</v>
      </c>
    </row>
    <row r="306" spans="1:4">
      <c r="A306" t="s">
        <v>223</v>
      </c>
      <c r="B306">
        <v>-9</v>
      </c>
      <c r="C306" t="s">
        <v>917</v>
      </c>
      <c r="D306" s="2">
        <v>14465833.75</v>
      </c>
    </row>
    <row r="307" spans="1:4">
      <c r="A307" t="s">
        <v>340</v>
      </c>
      <c r="B307">
        <v>-3</v>
      </c>
      <c r="C307" t="s">
        <v>224</v>
      </c>
      <c r="D307" s="2">
        <v>110249938.95999999</v>
      </c>
    </row>
    <row r="308" spans="1:4">
      <c r="A308" t="s">
        <v>225</v>
      </c>
      <c r="B308">
        <v>-7</v>
      </c>
      <c r="C308" t="s">
        <v>226</v>
      </c>
      <c r="D308" s="2">
        <v>88211185.159999996</v>
      </c>
    </row>
    <row r="309" spans="1:4">
      <c r="A309" t="s">
        <v>227</v>
      </c>
      <c r="B309">
        <v>-5</v>
      </c>
      <c r="C309" t="s">
        <v>869</v>
      </c>
      <c r="D309" s="2">
        <v>88211185.159999996</v>
      </c>
    </row>
    <row r="310" spans="1:4">
      <c r="A310" t="s">
        <v>228</v>
      </c>
      <c r="B310">
        <v>-3</v>
      </c>
      <c r="C310" t="s">
        <v>870</v>
      </c>
      <c r="D310" s="2">
        <v>88211185.159999996</v>
      </c>
    </row>
    <row r="311" spans="1:4">
      <c r="A311" t="s">
        <v>566</v>
      </c>
      <c r="B311">
        <v>0</v>
      </c>
      <c r="C311" t="s">
        <v>567</v>
      </c>
      <c r="D311" s="2">
        <v>13192437.710000001</v>
      </c>
    </row>
    <row r="312" spans="1:4">
      <c r="A312" t="s">
        <v>568</v>
      </c>
      <c r="B312">
        <v>-9</v>
      </c>
      <c r="C312" t="s">
        <v>918</v>
      </c>
      <c r="D312" s="2">
        <v>13192437.710000001</v>
      </c>
    </row>
    <row r="313" spans="1:4">
      <c r="A313" t="s">
        <v>570</v>
      </c>
      <c r="B313">
        <v>-7</v>
      </c>
      <c r="C313" t="s">
        <v>571</v>
      </c>
      <c r="D313" s="2">
        <v>8875802.7699999996</v>
      </c>
    </row>
    <row r="314" spans="1:4">
      <c r="A314" t="s">
        <v>572</v>
      </c>
      <c r="B314">
        <v>-5</v>
      </c>
      <c r="C314" t="s">
        <v>573</v>
      </c>
      <c r="D314" s="2">
        <v>4316634.9400000004</v>
      </c>
    </row>
    <row r="315" spans="1:4">
      <c r="A315" t="s">
        <v>576</v>
      </c>
      <c r="B315">
        <v>-8</v>
      </c>
      <c r="C315" t="s">
        <v>577</v>
      </c>
      <c r="D315" s="2">
        <v>8846316.0899999999</v>
      </c>
    </row>
    <row r="316" spans="1:4">
      <c r="A316" t="s">
        <v>578</v>
      </c>
      <c r="B316">
        <v>-3</v>
      </c>
      <c r="C316" t="s">
        <v>579</v>
      </c>
      <c r="D316" s="2">
        <v>8846316.0899999999</v>
      </c>
    </row>
    <row r="317" spans="1:4">
      <c r="A317" t="s">
        <v>580</v>
      </c>
      <c r="B317">
        <v>-8</v>
      </c>
      <c r="C317" t="s">
        <v>1092</v>
      </c>
      <c r="D317" s="2">
        <v>8846316.0899999999</v>
      </c>
    </row>
    <row r="318" spans="1:4">
      <c r="A318" t="s">
        <v>332</v>
      </c>
      <c r="B318">
        <v>-8</v>
      </c>
      <c r="C318" t="s">
        <v>229</v>
      </c>
      <c r="D318" s="2">
        <v>105899634</v>
      </c>
    </row>
    <row r="319" spans="1:4">
      <c r="A319" t="s">
        <v>230</v>
      </c>
      <c r="B319">
        <v>-5</v>
      </c>
      <c r="C319" t="s">
        <v>231</v>
      </c>
      <c r="D319" s="2">
        <v>105899634</v>
      </c>
    </row>
    <row r="320" spans="1:4">
      <c r="A320" t="s">
        <v>232</v>
      </c>
      <c r="B320">
        <v>0</v>
      </c>
      <c r="C320" t="s">
        <v>231</v>
      </c>
      <c r="D320" s="2">
        <v>105899634</v>
      </c>
    </row>
    <row r="321" spans="1:4">
      <c r="A321" t="s">
        <v>234</v>
      </c>
      <c r="B321">
        <v>-2</v>
      </c>
      <c r="C321" t="s">
        <v>1093</v>
      </c>
      <c r="D321" s="2">
        <v>50520217.5</v>
      </c>
    </row>
    <row r="322" spans="1:4">
      <c r="A322" t="s">
        <v>1094</v>
      </c>
      <c r="B322">
        <v>0</v>
      </c>
      <c r="C322" t="s">
        <v>1095</v>
      </c>
      <c r="D322" s="2">
        <v>41516633.289999999</v>
      </c>
    </row>
    <row r="323" spans="1:4">
      <c r="A323" t="s">
        <v>1096</v>
      </c>
      <c r="B323">
        <v>-9</v>
      </c>
      <c r="C323" t="s">
        <v>1097</v>
      </c>
      <c r="D323" s="2">
        <v>787538.25</v>
      </c>
    </row>
    <row r="324" spans="1:4">
      <c r="A324" t="s">
        <v>1098</v>
      </c>
      <c r="B324">
        <v>-7</v>
      </c>
      <c r="C324" t="s">
        <v>1099</v>
      </c>
      <c r="D324" s="2">
        <v>293198.38</v>
      </c>
    </row>
    <row r="325" spans="1:4">
      <c r="A325" t="s">
        <v>1100</v>
      </c>
      <c r="B325">
        <v>-5</v>
      </c>
      <c r="C325" t="s">
        <v>1101</v>
      </c>
      <c r="D325" s="2">
        <v>7306543.3300000001</v>
      </c>
    </row>
    <row r="326" spans="1:4">
      <c r="A326" t="s">
        <v>1102</v>
      </c>
      <c r="B326">
        <v>-3</v>
      </c>
      <c r="C326" t="s">
        <v>1103</v>
      </c>
      <c r="D326" s="2">
        <v>33561.39</v>
      </c>
    </row>
    <row r="327" spans="1:4">
      <c r="A327" t="s">
        <v>1104</v>
      </c>
      <c r="B327">
        <v>-1</v>
      </c>
      <c r="C327" t="s">
        <v>1105</v>
      </c>
      <c r="D327" s="2">
        <v>2250134.12</v>
      </c>
    </row>
    <row r="328" spans="1:4">
      <c r="A328" t="s">
        <v>1106</v>
      </c>
      <c r="B328">
        <v>-6</v>
      </c>
      <c r="C328" t="s">
        <v>1107</v>
      </c>
      <c r="D328" s="2">
        <v>3191807.74</v>
      </c>
    </row>
    <row r="329" spans="1:4">
      <c r="A329" t="s">
        <v>335</v>
      </c>
      <c r="B329">
        <v>-6</v>
      </c>
      <c r="C329" t="s">
        <v>236</v>
      </c>
      <c r="D329" s="2">
        <v>871920.46</v>
      </c>
    </row>
    <row r="330" spans="1:4">
      <c r="A330" t="s">
        <v>237</v>
      </c>
      <c r="B330">
        <v>0</v>
      </c>
      <c r="C330" t="s">
        <v>238</v>
      </c>
      <c r="D330" s="2">
        <v>871920.46</v>
      </c>
    </row>
    <row r="331" spans="1:4">
      <c r="A331" t="s">
        <v>336</v>
      </c>
      <c r="B331">
        <v>-9</v>
      </c>
      <c r="C331" t="s">
        <v>1108</v>
      </c>
      <c r="D331" s="2">
        <v>394540.74</v>
      </c>
    </row>
    <row r="332" spans="1:4">
      <c r="A332" t="s">
        <v>333</v>
      </c>
      <c r="B332">
        <v>-1</v>
      </c>
      <c r="C332" t="s">
        <v>1109</v>
      </c>
      <c r="D332" s="2">
        <v>394540.74</v>
      </c>
    </row>
    <row r="333" spans="1:4">
      <c r="A333" t="s">
        <v>241</v>
      </c>
      <c r="B333">
        <v>-9</v>
      </c>
      <c r="C333" t="s">
        <v>586</v>
      </c>
      <c r="D333" s="2">
        <v>477379.72</v>
      </c>
    </row>
    <row r="334" spans="1:4">
      <c r="A334" t="s">
        <v>587</v>
      </c>
      <c r="B334">
        <v>-1</v>
      </c>
      <c r="C334" t="s">
        <v>1110</v>
      </c>
      <c r="D334">
        <v>516.62</v>
      </c>
    </row>
    <row r="335" spans="1:4">
      <c r="A335" t="s">
        <v>919</v>
      </c>
      <c r="B335">
        <v>0</v>
      </c>
      <c r="C335" t="s">
        <v>1111</v>
      </c>
      <c r="D335" s="2">
        <v>476863.1</v>
      </c>
    </row>
    <row r="336" spans="1:4">
      <c r="A336">
        <v>9</v>
      </c>
      <c r="B336">
        <v>-8</v>
      </c>
      <c r="C336" t="s">
        <v>625</v>
      </c>
      <c r="D336" s="2">
        <v>114218157.56</v>
      </c>
    </row>
    <row r="337" spans="1:4">
      <c r="A337" t="s">
        <v>639</v>
      </c>
      <c r="B337">
        <v>-8</v>
      </c>
      <c r="C337" t="s">
        <v>625</v>
      </c>
      <c r="D337" s="2">
        <v>114218157.56</v>
      </c>
    </row>
    <row r="338" spans="1:4">
      <c r="A338" t="s">
        <v>640</v>
      </c>
      <c r="B338">
        <v>-1</v>
      </c>
      <c r="C338" t="s">
        <v>628</v>
      </c>
      <c r="D338" s="2">
        <v>114218157.56</v>
      </c>
    </row>
    <row r="339" spans="1:4">
      <c r="A339" t="s">
        <v>641</v>
      </c>
      <c r="B339">
        <v>-5</v>
      </c>
      <c r="C339" t="s">
        <v>642</v>
      </c>
      <c r="D339" s="2">
        <v>114218157.56</v>
      </c>
    </row>
    <row r="340" spans="1:4">
      <c r="A340" t="s">
        <v>643</v>
      </c>
      <c r="B340">
        <v>-1</v>
      </c>
      <c r="C340" t="s">
        <v>644</v>
      </c>
      <c r="D340" s="2">
        <v>114218157.56</v>
      </c>
    </row>
    <row r="341" spans="1:4">
      <c r="A341" t="s">
        <v>645</v>
      </c>
      <c r="B341">
        <v>-6</v>
      </c>
      <c r="C341" t="s">
        <v>646</v>
      </c>
      <c r="D341" s="2">
        <v>42865000</v>
      </c>
    </row>
    <row r="342" spans="1:4">
      <c r="A342" t="s">
        <v>647</v>
      </c>
      <c r="B342">
        <v>-4</v>
      </c>
      <c r="C342" t="s">
        <v>648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/>
  <dimension ref="A1:D341"/>
  <sheetViews>
    <sheetView workbookViewId="0">
      <selection activeCell="A169" sqref="A169:A334"/>
    </sheetView>
  </sheetViews>
  <sheetFormatPr defaultRowHeight="12.75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>
      <c r="A1" s="176" t="s">
        <v>1151</v>
      </c>
      <c r="B1" s="177">
        <v>7</v>
      </c>
      <c r="C1" s="178" t="s">
        <v>345</v>
      </c>
      <c r="D1" s="179">
        <v>1643973613.3800001</v>
      </c>
    </row>
    <row r="2" spans="1:4" ht="13.5">
      <c r="A2" s="176" t="s">
        <v>315</v>
      </c>
      <c r="B2" s="177">
        <v>4</v>
      </c>
      <c r="C2" s="180" t="s">
        <v>346</v>
      </c>
      <c r="D2" s="179">
        <v>1276.81</v>
      </c>
    </row>
    <row r="3" spans="1:4" ht="13.5">
      <c r="A3" s="176" t="s">
        <v>347</v>
      </c>
      <c r="B3" s="177">
        <v>2</v>
      </c>
      <c r="C3" s="181" t="s">
        <v>348</v>
      </c>
      <c r="D3" s="179">
        <v>1224.83</v>
      </c>
    </row>
    <row r="4" spans="1:4" ht="13.5">
      <c r="A4" s="176" t="s">
        <v>349</v>
      </c>
      <c r="B4" s="177">
        <v>0</v>
      </c>
      <c r="C4" s="182" t="s">
        <v>348</v>
      </c>
      <c r="D4" s="179">
        <v>1224.83</v>
      </c>
    </row>
    <row r="5" spans="1:4" ht="13.5">
      <c r="A5" s="176" t="s">
        <v>351</v>
      </c>
      <c r="B5" s="177">
        <v>5</v>
      </c>
      <c r="C5" s="183" t="s">
        <v>348</v>
      </c>
      <c r="D5" s="179">
        <v>1224.83</v>
      </c>
    </row>
    <row r="6" spans="1:4" ht="13.5">
      <c r="A6" s="176" t="s">
        <v>352</v>
      </c>
      <c r="B6" s="177">
        <v>3</v>
      </c>
      <c r="C6" s="184" t="s">
        <v>348</v>
      </c>
      <c r="D6" s="179">
        <v>1224.83</v>
      </c>
    </row>
    <row r="7" spans="1:4" ht="13.5">
      <c r="A7" s="176" t="s">
        <v>353</v>
      </c>
      <c r="B7" s="177">
        <v>0</v>
      </c>
      <c r="C7" s="181" t="s">
        <v>354</v>
      </c>
      <c r="D7" s="179">
        <v>51.98</v>
      </c>
    </row>
    <row r="8" spans="1:4" ht="13.5">
      <c r="A8" s="176" t="s">
        <v>355</v>
      </c>
      <c r="B8" s="177">
        <v>2</v>
      </c>
      <c r="C8" s="182" t="s">
        <v>354</v>
      </c>
      <c r="D8" s="179">
        <v>51.98</v>
      </c>
    </row>
    <row r="9" spans="1:4" ht="13.5">
      <c r="A9" s="176" t="s">
        <v>356</v>
      </c>
      <c r="B9" s="177">
        <v>8</v>
      </c>
      <c r="C9" s="183" t="s">
        <v>354</v>
      </c>
      <c r="D9" s="179">
        <v>51.98</v>
      </c>
    </row>
    <row r="10" spans="1:4" ht="13.5">
      <c r="A10" s="176" t="s">
        <v>357</v>
      </c>
      <c r="B10" s="177">
        <v>6</v>
      </c>
      <c r="C10" s="184" t="s">
        <v>354</v>
      </c>
      <c r="D10" s="179">
        <v>51.98</v>
      </c>
    </row>
    <row r="11" spans="1:4" ht="13.5">
      <c r="A11" s="176" t="s">
        <v>364</v>
      </c>
      <c r="B11" s="177">
        <v>9</v>
      </c>
      <c r="C11" s="180" t="s">
        <v>365</v>
      </c>
      <c r="D11" s="179">
        <v>1631349949.5799999</v>
      </c>
    </row>
    <row r="12" spans="1:4" ht="13.5">
      <c r="A12" s="176" t="s">
        <v>366</v>
      </c>
      <c r="B12" s="177">
        <v>7</v>
      </c>
      <c r="C12" s="181" t="s">
        <v>367</v>
      </c>
      <c r="D12" s="179">
        <v>1631349949.5799999</v>
      </c>
    </row>
    <row r="13" spans="1:4" ht="13.5">
      <c r="A13" s="176" t="s">
        <v>318</v>
      </c>
      <c r="B13" s="177">
        <v>0</v>
      </c>
      <c r="C13" s="182" t="s">
        <v>0</v>
      </c>
      <c r="D13" s="179">
        <v>636815833.82000005</v>
      </c>
    </row>
    <row r="14" spans="1:4" ht="13.5">
      <c r="A14" s="176" t="s">
        <v>1</v>
      </c>
      <c r="B14" s="177">
        <v>7</v>
      </c>
      <c r="C14" s="183" t="s">
        <v>2</v>
      </c>
      <c r="D14" s="179">
        <v>636815833.82000005</v>
      </c>
    </row>
    <row r="15" spans="1:4" ht="13.5">
      <c r="A15" s="176" t="s">
        <v>3</v>
      </c>
      <c r="B15" s="177">
        <v>5</v>
      </c>
      <c r="C15" s="184" t="s">
        <v>795</v>
      </c>
      <c r="D15" s="179">
        <v>636815833.82000005</v>
      </c>
    </row>
    <row r="16" spans="1:4" ht="13.5">
      <c r="A16" s="176" t="s">
        <v>376</v>
      </c>
      <c r="B16" s="177">
        <v>3</v>
      </c>
      <c r="C16" s="182" t="s">
        <v>377</v>
      </c>
      <c r="D16" s="179">
        <v>265332501.36000001</v>
      </c>
    </row>
    <row r="17" spans="1:4" ht="13.5">
      <c r="A17" s="176" t="s">
        <v>378</v>
      </c>
      <c r="B17" s="177">
        <v>6</v>
      </c>
      <c r="C17" s="183" t="s">
        <v>379</v>
      </c>
      <c r="D17" s="179">
        <v>265332501.36000001</v>
      </c>
    </row>
    <row r="18" spans="1:4" ht="13.5">
      <c r="A18" s="176" t="s">
        <v>380</v>
      </c>
      <c r="B18" s="177">
        <v>4</v>
      </c>
      <c r="C18" s="184" t="s">
        <v>879</v>
      </c>
      <c r="D18" s="179">
        <v>265332501.36000001</v>
      </c>
    </row>
    <row r="19" spans="1:4" ht="13.5">
      <c r="A19" s="176" t="s">
        <v>317</v>
      </c>
      <c r="B19" s="177">
        <v>4</v>
      </c>
      <c r="C19" s="182" t="s">
        <v>4</v>
      </c>
      <c r="D19" s="179">
        <v>729201614.39999998</v>
      </c>
    </row>
    <row r="20" spans="1:4" ht="13.5">
      <c r="A20" s="176" t="s">
        <v>5</v>
      </c>
      <c r="B20" s="177">
        <v>0</v>
      </c>
      <c r="C20" s="183" t="s">
        <v>6</v>
      </c>
      <c r="D20" s="179">
        <v>729201614.39999998</v>
      </c>
    </row>
    <row r="21" spans="1:4" ht="13.5">
      <c r="A21" s="176" t="s">
        <v>7</v>
      </c>
      <c r="B21" s="177">
        <v>7</v>
      </c>
      <c r="C21" s="184" t="s">
        <v>880</v>
      </c>
      <c r="D21" s="179">
        <v>729201614.39999998</v>
      </c>
    </row>
    <row r="22" spans="1:4" ht="13.5">
      <c r="A22" s="176" t="s">
        <v>12</v>
      </c>
      <c r="B22" s="177">
        <v>5</v>
      </c>
      <c r="C22" s="180" t="s">
        <v>13</v>
      </c>
      <c r="D22" s="179">
        <v>12622386.99</v>
      </c>
    </row>
    <row r="23" spans="1:4" ht="13.5">
      <c r="A23" s="176" t="s">
        <v>319</v>
      </c>
      <c r="B23" s="177">
        <v>0</v>
      </c>
      <c r="C23" s="181" t="s">
        <v>14</v>
      </c>
      <c r="D23" s="179">
        <v>4540056.0199999996</v>
      </c>
    </row>
    <row r="24" spans="1:4" ht="13.5">
      <c r="A24" s="176" t="s">
        <v>15</v>
      </c>
      <c r="B24" s="177">
        <v>1</v>
      </c>
      <c r="C24" s="182" t="s">
        <v>16</v>
      </c>
      <c r="D24" s="179">
        <v>4540056.0199999996</v>
      </c>
    </row>
    <row r="25" spans="1:4" ht="13.5">
      <c r="A25" s="176" t="s">
        <v>17</v>
      </c>
      <c r="B25" s="177">
        <v>3</v>
      </c>
      <c r="C25" s="183" t="s">
        <v>1013</v>
      </c>
      <c r="D25" s="179">
        <v>4540056.0199999996</v>
      </c>
    </row>
    <row r="26" spans="1:4" ht="13.5">
      <c r="A26" s="176" t="s">
        <v>18</v>
      </c>
      <c r="B26" s="177">
        <v>1</v>
      </c>
      <c r="C26" s="184" t="s">
        <v>797</v>
      </c>
      <c r="D26" s="179">
        <v>3463850.11</v>
      </c>
    </row>
    <row r="27" spans="1:4" ht="13.5">
      <c r="A27" s="176" t="s">
        <v>19</v>
      </c>
      <c r="B27" s="177">
        <v>0</v>
      </c>
      <c r="C27" s="184" t="s">
        <v>798</v>
      </c>
      <c r="D27" s="179">
        <v>1076205.9099999999</v>
      </c>
    </row>
    <row r="28" spans="1:4" ht="13.5">
      <c r="A28" s="176" t="s">
        <v>320</v>
      </c>
      <c r="B28" s="177">
        <v>0</v>
      </c>
      <c r="C28" s="181" t="s">
        <v>20</v>
      </c>
      <c r="D28" s="179">
        <v>8082330.9699999997</v>
      </c>
    </row>
    <row r="29" spans="1:4" ht="13.5">
      <c r="A29" s="176" t="s">
        <v>21</v>
      </c>
      <c r="B29" s="177">
        <v>0</v>
      </c>
      <c r="C29" s="182" t="s">
        <v>22</v>
      </c>
      <c r="D29" s="179">
        <v>56518.01</v>
      </c>
    </row>
    <row r="30" spans="1:4" ht="13.5">
      <c r="A30" s="176" t="s">
        <v>23</v>
      </c>
      <c r="B30" s="177">
        <v>4</v>
      </c>
      <c r="C30" s="183" t="s">
        <v>968</v>
      </c>
      <c r="D30" s="179">
        <v>56518.01</v>
      </c>
    </row>
    <row r="31" spans="1:4" ht="13.5">
      <c r="A31" s="176" t="s">
        <v>24</v>
      </c>
      <c r="B31" s="177">
        <v>2</v>
      </c>
      <c r="C31" s="184" t="s">
        <v>799</v>
      </c>
      <c r="D31" s="179">
        <v>41557.360000000001</v>
      </c>
    </row>
    <row r="32" spans="1:4" ht="13.5">
      <c r="A32" s="176" t="s">
        <v>25</v>
      </c>
      <c r="B32" s="177">
        <v>0</v>
      </c>
      <c r="C32" s="184" t="s">
        <v>800</v>
      </c>
      <c r="D32" s="179">
        <v>14960.65</v>
      </c>
    </row>
    <row r="33" spans="1:4" ht="13.5">
      <c r="A33" s="176" t="s">
        <v>26</v>
      </c>
      <c r="B33" s="177">
        <v>8</v>
      </c>
      <c r="C33" s="182" t="s">
        <v>27</v>
      </c>
      <c r="D33" s="179">
        <v>1237720.21</v>
      </c>
    </row>
    <row r="34" spans="1:4" ht="13.5">
      <c r="A34" s="176" t="s">
        <v>389</v>
      </c>
      <c r="B34" s="177">
        <v>0</v>
      </c>
      <c r="C34" s="183" t="s">
        <v>941</v>
      </c>
      <c r="D34" s="179">
        <v>1184175.73</v>
      </c>
    </row>
    <row r="35" spans="1:4" ht="13.5">
      <c r="A35" s="176" t="s">
        <v>395</v>
      </c>
      <c r="B35" s="177">
        <v>2</v>
      </c>
      <c r="C35" s="184" t="s">
        <v>944</v>
      </c>
      <c r="D35" s="179">
        <v>1184175.73</v>
      </c>
    </row>
    <row r="36" spans="1:4" ht="13.5">
      <c r="A36" s="176" t="s">
        <v>675</v>
      </c>
      <c r="B36" s="177">
        <v>5</v>
      </c>
      <c r="C36" s="183" t="s">
        <v>1014</v>
      </c>
      <c r="D36" s="179">
        <v>53544.480000000003</v>
      </c>
    </row>
    <row r="37" spans="1:4" ht="13.5">
      <c r="A37" s="176" t="s">
        <v>676</v>
      </c>
      <c r="B37" s="177">
        <v>3</v>
      </c>
      <c r="C37" s="184" t="s">
        <v>881</v>
      </c>
      <c r="D37" s="179">
        <v>53544.480000000003</v>
      </c>
    </row>
    <row r="38" spans="1:4" ht="13.5">
      <c r="A38" s="176" t="s">
        <v>882</v>
      </c>
      <c r="B38" s="177">
        <v>2</v>
      </c>
      <c r="C38" s="182" t="s">
        <v>883</v>
      </c>
      <c r="D38" s="179">
        <v>4264787.8600000003</v>
      </c>
    </row>
    <row r="39" spans="1:4" ht="13.5">
      <c r="A39" s="176" t="s">
        <v>884</v>
      </c>
      <c r="B39" s="177">
        <v>8</v>
      </c>
      <c r="C39" s="183" t="s">
        <v>885</v>
      </c>
      <c r="D39" s="179">
        <v>4264787.8600000003</v>
      </c>
    </row>
    <row r="40" spans="1:4" ht="13.5">
      <c r="A40" s="176" t="s">
        <v>886</v>
      </c>
      <c r="B40" s="177">
        <v>2</v>
      </c>
      <c r="C40" s="184" t="s">
        <v>887</v>
      </c>
      <c r="D40" s="179">
        <v>4264787.8600000003</v>
      </c>
    </row>
    <row r="41" spans="1:4" ht="13.5">
      <c r="A41" s="176" t="s">
        <v>302</v>
      </c>
      <c r="B41" s="177">
        <v>2</v>
      </c>
      <c r="C41" s="182" t="s">
        <v>303</v>
      </c>
      <c r="D41" s="179">
        <v>2523304.89</v>
      </c>
    </row>
    <row r="42" spans="1:4" ht="13.5">
      <c r="A42" s="176" t="s">
        <v>304</v>
      </c>
      <c r="B42" s="177">
        <v>7</v>
      </c>
      <c r="C42" s="183" t="s">
        <v>303</v>
      </c>
      <c r="D42" s="179">
        <v>2523304.89</v>
      </c>
    </row>
    <row r="43" spans="1:4" ht="13.5">
      <c r="A43" s="176" t="s">
        <v>305</v>
      </c>
      <c r="B43" s="177">
        <v>4</v>
      </c>
      <c r="C43" s="184" t="s">
        <v>888</v>
      </c>
      <c r="D43" s="179">
        <v>2523304.89</v>
      </c>
    </row>
    <row r="44" spans="1:4" ht="13.5">
      <c r="A44" s="176" t="s">
        <v>1152</v>
      </c>
      <c r="B44" s="177">
        <v>3</v>
      </c>
      <c r="C44" s="178" t="s">
        <v>1153</v>
      </c>
      <c r="D44" s="179">
        <v>2086979300.5899999</v>
      </c>
    </row>
    <row r="45" spans="1:4" ht="13.5">
      <c r="A45" s="176" t="s">
        <v>321</v>
      </c>
      <c r="B45" s="177">
        <v>0</v>
      </c>
      <c r="C45" s="180" t="s">
        <v>28</v>
      </c>
      <c r="D45" s="179">
        <v>2086979300.5899999</v>
      </c>
    </row>
    <row r="46" spans="1:4" ht="13.5">
      <c r="A46" s="176" t="s">
        <v>29</v>
      </c>
      <c r="B46" s="177">
        <v>7</v>
      </c>
      <c r="C46" s="181" t="s">
        <v>30</v>
      </c>
      <c r="D46" s="179">
        <v>2086979300.5899999</v>
      </c>
    </row>
    <row r="47" spans="1:4" ht="13.5">
      <c r="A47" s="176" t="s">
        <v>31</v>
      </c>
      <c r="B47" s="177">
        <v>0</v>
      </c>
      <c r="C47" s="182" t="s">
        <v>32</v>
      </c>
      <c r="D47" s="179">
        <v>2159361764.6300001</v>
      </c>
    </row>
    <row r="48" spans="1:4" ht="13.5">
      <c r="A48" s="176" t="s">
        <v>268</v>
      </c>
      <c r="B48" s="177">
        <v>2</v>
      </c>
      <c r="C48" s="183" t="s">
        <v>398</v>
      </c>
      <c r="D48" s="179">
        <v>1556020603.6099999</v>
      </c>
    </row>
    <row r="49" spans="1:4" ht="13.5">
      <c r="A49" s="176" t="s">
        <v>269</v>
      </c>
      <c r="B49" s="177">
        <v>0</v>
      </c>
      <c r="C49" s="184" t="s">
        <v>1015</v>
      </c>
      <c r="D49" s="179">
        <v>1556973242.8</v>
      </c>
    </row>
    <row r="50" spans="1:4" ht="13.5">
      <c r="A50" s="176" t="s">
        <v>653</v>
      </c>
      <c r="B50" s="177">
        <v>9</v>
      </c>
      <c r="C50" s="184" t="s">
        <v>654</v>
      </c>
      <c r="D50" s="179">
        <v>-952639.19</v>
      </c>
    </row>
    <row r="51" spans="1:4" ht="13.5">
      <c r="A51" s="176" t="s">
        <v>270</v>
      </c>
      <c r="B51" s="177">
        <v>9</v>
      </c>
      <c r="C51" s="183" t="s">
        <v>399</v>
      </c>
      <c r="D51" s="179">
        <v>176358000</v>
      </c>
    </row>
    <row r="52" spans="1:4" ht="13.5">
      <c r="A52" s="176" t="s">
        <v>271</v>
      </c>
      <c r="B52" s="177">
        <v>7</v>
      </c>
      <c r="C52" s="184" t="s">
        <v>400</v>
      </c>
      <c r="D52" s="179">
        <v>176358000</v>
      </c>
    </row>
    <row r="53" spans="1:4" ht="13.5">
      <c r="A53" s="176" t="s">
        <v>272</v>
      </c>
      <c r="B53" s="177">
        <v>1</v>
      </c>
      <c r="C53" s="183" t="s">
        <v>401</v>
      </c>
      <c r="D53" s="179">
        <v>32683799.68</v>
      </c>
    </row>
    <row r="54" spans="1:4" ht="13.5">
      <c r="A54" s="176" t="s">
        <v>273</v>
      </c>
      <c r="B54" s="177">
        <v>0</v>
      </c>
      <c r="C54" s="184" t="s">
        <v>402</v>
      </c>
      <c r="D54" s="179">
        <v>162276000</v>
      </c>
    </row>
    <row r="55" spans="1:4" ht="13.5">
      <c r="A55" s="176" t="s">
        <v>274</v>
      </c>
      <c r="B55" s="177">
        <v>8</v>
      </c>
      <c r="C55" s="184" t="s">
        <v>403</v>
      </c>
      <c r="D55" s="179">
        <v>-129592200.31999999</v>
      </c>
    </row>
    <row r="56" spans="1:4" ht="13.5">
      <c r="A56" s="176" t="s">
        <v>275</v>
      </c>
      <c r="B56" s="177">
        <v>8</v>
      </c>
      <c r="C56" s="183" t="s">
        <v>276</v>
      </c>
      <c r="D56" s="179">
        <v>168328526.28</v>
      </c>
    </row>
    <row r="57" spans="1:4" ht="13.5">
      <c r="A57" s="176" t="s">
        <v>278</v>
      </c>
      <c r="B57" s="177">
        <v>4</v>
      </c>
      <c r="C57" s="184" t="s">
        <v>404</v>
      </c>
      <c r="D57" s="179">
        <v>44691895.43</v>
      </c>
    </row>
    <row r="58" spans="1:4" ht="13.5">
      <c r="A58" s="176" t="s">
        <v>279</v>
      </c>
      <c r="B58" s="177">
        <v>2</v>
      </c>
      <c r="C58" s="184" t="s">
        <v>405</v>
      </c>
      <c r="D58" s="179">
        <v>7025260.0499999998</v>
      </c>
    </row>
    <row r="59" spans="1:4" ht="13.5">
      <c r="A59" s="176" t="s">
        <v>406</v>
      </c>
      <c r="B59" s="177">
        <v>0</v>
      </c>
      <c r="C59" s="184" t="s">
        <v>407</v>
      </c>
      <c r="D59" s="179">
        <v>45899406.200000003</v>
      </c>
    </row>
    <row r="60" spans="1:4" ht="13.5">
      <c r="A60" s="176" t="s">
        <v>280</v>
      </c>
      <c r="B60" s="177">
        <v>0</v>
      </c>
      <c r="C60" s="184" t="s">
        <v>408</v>
      </c>
      <c r="D60" s="179">
        <v>1897790.36</v>
      </c>
    </row>
    <row r="61" spans="1:4" ht="13.5">
      <c r="A61" s="176" t="s">
        <v>281</v>
      </c>
      <c r="B61" s="177">
        <v>9</v>
      </c>
      <c r="C61" s="184" t="s">
        <v>409</v>
      </c>
      <c r="D61" s="179">
        <v>2101445.02</v>
      </c>
    </row>
    <row r="62" spans="1:4" ht="13.5">
      <c r="A62" s="176" t="s">
        <v>282</v>
      </c>
      <c r="B62" s="177">
        <v>7</v>
      </c>
      <c r="C62" s="184" t="s">
        <v>410</v>
      </c>
      <c r="D62" s="179">
        <v>33441440.379999999</v>
      </c>
    </row>
    <row r="63" spans="1:4" ht="13.5">
      <c r="A63" s="176" t="s">
        <v>413</v>
      </c>
      <c r="B63" s="177">
        <v>0</v>
      </c>
      <c r="C63" s="184" t="s">
        <v>1016</v>
      </c>
      <c r="D63" s="179">
        <v>1010953.34</v>
      </c>
    </row>
    <row r="64" spans="1:4" ht="13.5">
      <c r="A64" s="176" t="s">
        <v>690</v>
      </c>
      <c r="B64" s="177">
        <v>0</v>
      </c>
      <c r="C64" s="184" t="s">
        <v>889</v>
      </c>
      <c r="D64" s="179">
        <v>3536300</v>
      </c>
    </row>
    <row r="65" spans="1:4" ht="13.5">
      <c r="A65" s="176" t="s">
        <v>1154</v>
      </c>
      <c r="B65" s="177">
        <v>7</v>
      </c>
      <c r="C65" s="184" t="s">
        <v>1155</v>
      </c>
      <c r="D65" s="179">
        <v>28724035.5</v>
      </c>
    </row>
    <row r="66" spans="1:4" ht="13.5">
      <c r="A66" s="176" t="s">
        <v>285</v>
      </c>
      <c r="B66" s="177">
        <v>4</v>
      </c>
      <c r="C66" s="183" t="s">
        <v>415</v>
      </c>
      <c r="D66" s="179">
        <v>79281286</v>
      </c>
    </row>
    <row r="67" spans="1:4" ht="13.5">
      <c r="A67" s="176" t="s">
        <v>286</v>
      </c>
      <c r="B67" s="177">
        <v>2</v>
      </c>
      <c r="C67" s="184" t="s">
        <v>416</v>
      </c>
      <c r="D67" s="179">
        <v>79281286</v>
      </c>
    </row>
    <row r="68" spans="1:4" ht="13.5">
      <c r="A68" s="176" t="s">
        <v>287</v>
      </c>
      <c r="B68" s="177">
        <v>7</v>
      </c>
      <c r="C68" s="183" t="s">
        <v>890</v>
      </c>
      <c r="D68" s="179">
        <v>85691628</v>
      </c>
    </row>
    <row r="69" spans="1:4" ht="13.5">
      <c r="A69" s="176" t="s">
        <v>288</v>
      </c>
      <c r="B69" s="177">
        <v>5</v>
      </c>
      <c r="C69" s="184" t="s">
        <v>418</v>
      </c>
      <c r="D69" s="179">
        <v>190425840</v>
      </c>
    </row>
    <row r="70" spans="1:4" ht="13.5">
      <c r="A70" s="176" t="s">
        <v>289</v>
      </c>
      <c r="B70" s="177">
        <v>3</v>
      </c>
      <c r="C70" s="184" t="s">
        <v>419</v>
      </c>
      <c r="D70" s="179">
        <v>-104734212</v>
      </c>
    </row>
    <row r="71" spans="1:4" ht="13.5">
      <c r="A71" s="176" t="s">
        <v>749</v>
      </c>
      <c r="B71" s="177">
        <v>0</v>
      </c>
      <c r="C71" s="183" t="s">
        <v>891</v>
      </c>
      <c r="D71" s="179">
        <v>60997921.060000002</v>
      </c>
    </row>
    <row r="72" spans="1:4" ht="13.5">
      <c r="A72" s="176" t="s">
        <v>751</v>
      </c>
      <c r="B72" s="177">
        <v>8</v>
      </c>
      <c r="C72" s="184" t="s">
        <v>693</v>
      </c>
      <c r="D72" s="179">
        <v>66011000</v>
      </c>
    </row>
    <row r="73" spans="1:4" ht="13.5">
      <c r="A73" s="176" t="s">
        <v>753</v>
      </c>
      <c r="B73" s="177">
        <v>6</v>
      </c>
      <c r="C73" s="184" t="s">
        <v>746</v>
      </c>
      <c r="D73" s="179">
        <v>-5013078.9400000004</v>
      </c>
    </row>
    <row r="74" spans="1:4" ht="13.5">
      <c r="A74" s="176" t="s">
        <v>1017</v>
      </c>
      <c r="B74" s="177">
        <v>0</v>
      </c>
      <c r="C74" s="182" t="s">
        <v>1018</v>
      </c>
      <c r="D74" s="179">
        <v>-72382464.040000007</v>
      </c>
    </row>
    <row r="75" spans="1:4" ht="13.5">
      <c r="A75" s="176" t="s">
        <v>1019</v>
      </c>
      <c r="B75" s="177">
        <v>4</v>
      </c>
      <c r="C75" s="183" t="s">
        <v>1020</v>
      </c>
      <c r="D75" s="179">
        <v>-72382464.040000007</v>
      </c>
    </row>
    <row r="76" spans="1:4" ht="13.5">
      <c r="A76" s="176" t="s">
        <v>1021</v>
      </c>
      <c r="B76" s="177">
        <v>9</v>
      </c>
      <c r="C76" s="184" t="s">
        <v>1022</v>
      </c>
      <c r="D76" s="179">
        <v>-72382464.040000007</v>
      </c>
    </row>
    <row r="77" spans="1:4" ht="13.5">
      <c r="A77" s="176" t="s">
        <v>322</v>
      </c>
      <c r="B77" s="177">
        <v>8</v>
      </c>
      <c r="C77" s="180" t="s">
        <v>33</v>
      </c>
      <c r="D77" s="179">
        <v>0</v>
      </c>
    </row>
    <row r="78" spans="1:4" ht="13.5">
      <c r="A78" s="176" t="s">
        <v>34</v>
      </c>
      <c r="B78" s="177">
        <v>0</v>
      </c>
      <c r="C78" s="181" t="s">
        <v>35</v>
      </c>
      <c r="D78" s="179">
        <v>0</v>
      </c>
    </row>
    <row r="79" spans="1:4" ht="13.5">
      <c r="A79" s="176" t="s">
        <v>420</v>
      </c>
      <c r="B79" s="177">
        <v>8</v>
      </c>
      <c r="C79" s="182" t="s">
        <v>421</v>
      </c>
      <c r="D79" s="179">
        <v>1500</v>
      </c>
    </row>
    <row r="80" spans="1:4" ht="13.5">
      <c r="A80" s="176" t="s">
        <v>422</v>
      </c>
      <c r="B80" s="177">
        <v>0</v>
      </c>
      <c r="C80" s="183" t="s">
        <v>423</v>
      </c>
      <c r="D80" s="179">
        <v>1500</v>
      </c>
    </row>
    <row r="81" spans="1:4" ht="13.5">
      <c r="A81" s="176" t="s">
        <v>424</v>
      </c>
      <c r="B81" s="177">
        <v>9</v>
      </c>
      <c r="C81" s="184" t="s">
        <v>892</v>
      </c>
      <c r="D81" s="179">
        <v>1500</v>
      </c>
    </row>
    <row r="82" spans="1:4" ht="13.5">
      <c r="A82" s="176" t="s">
        <v>36</v>
      </c>
      <c r="B82" s="177">
        <v>4</v>
      </c>
      <c r="C82" s="182" t="s">
        <v>37</v>
      </c>
      <c r="D82" s="179">
        <v>-1500</v>
      </c>
    </row>
    <row r="83" spans="1:4" ht="13.5">
      <c r="A83" s="176" t="s">
        <v>38</v>
      </c>
      <c r="B83" s="177">
        <v>0</v>
      </c>
      <c r="C83" s="183" t="s">
        <v>425</v>
      </c>
      <c r="D83" s="179">
        <v>-1500</v>
      </c>
    </row>
    <row r="84" spans="1:4" ht="13.5">
      <c r="A84" s="176" t="s">
        <v>39</v>
      </c>
      <c r="B84" s="177">
        <v>4</v>
      </c>
      <c r="C84" s="184" t="s">
        <v>893</v>
      </c>
      <c r="D84" s="179">
        <v>-1500</v>
      </c>
    </row>
    <row r="85" spans="1:4" ht="13.5">
      <c r="A85" s="176" t="s">
        <v>1156</v>
      </c>
      <c r="B85" s="177">
        <v>0</v>
      </c>
      <c r="C85" s="178" t="s">
        <v>625</v>
      </c>
      <c r="D85" s="179">
        <v>122146286.18000001</v>
      </c>
    </row>
    <row r="86" spans="1:4" ht="13.5">
      <c r="A86" s="176" t="s">
        <v>626</v>
      </c>
      <c r="B86" s="177">
        <v>0</v>
      </c>
      <c r="C86" s="180" t="s">
        <v>625</v>
      </c>
      <c r="D86" s="179">
        <v>122146286.18000001</v>
      </c>
    </row>
    <row r="87" spans="1:4" ht="13.5">
      <c r="A87" s="176" t="s">
        <v>627</v>
      </c>
      <c r="B87" s="177">
        <v>3</v>
      </c>
      <c r="C87" s="181" t="s">
        <v>628</v>
      </c>
      <c r="D87" s="179">
        <v>122146286.18000001</v>
      </c>
    </row>
    <row r="88" spans="1:4" ht="13.5">
      <c r="A88" s="176" t="s">
        <v>629</v>
      </c>
      <c r="B88" s="177">
        <v>7</v>
      </c>
      <c r="C88" s="182" t="s">
        <v>630</v>
      </c>
      <c r="D88" s="179">
        <v>122146286.18000001</v>
      </c>
    </row>
    <row r="89" spans="1:4" ht="13.5">
      <c r="A89" s="176" t="s">
        <v>631</v>
      </c>
      <c r="B89" s="177">
        <v>3</v>
      </c>
      <c r="C89" s="183" t="s">
        <v>630</v>
      </c>
      <c r="D89" s="179">
        <v>122146286.18000001</v>
      </c>
    </row>
    <row r="90" spans="1:4" ht="13.5">
      <c r="A90" s="176" t="s">
        <v>632</v>
      </c>
      <c r="B90" s="177">
        <v>8</v>
      </c>
      <c r="C90" s="184" t="s">
        <v>633</v>
      </c>
      <c r="D90" s="179">
        <v>42865000</v>
      </c>
    </row>
    <row r="91" spans="1:4" ht="13.5">
      <c r="A91" s="176" t="s">
        <v>634</v>
      </c>
      <c r="B91" s="177">
        <v>6</v>
      </c>
      <c r="C91" s="184" t="s">
        <v>635</v>
      </c>
      <c r="D91" s="179">
        <v>79281286.180000007</v>
      </c>
    </row>
    <row r="92" spans="1:4" ht="13.5">
      <c r="A92" s="176" t="s">
        <v>1157</v>
      </c>
      <c r="B92" s="177">
        <v>6</v>
      </c>
      <c r="C92" s="178" t="s">
        <v>345</v>
      </c>
      <c r="D92" s="179">
        <v>294758859.91000003</v>
      </c>
    </row>
    <row r="93" spans="1:4" ht="13.5">
      <c r="A93" s="176" t="s">
        <v>158</v>
      </c>
      <c r="B93" s="177">
        <v>1</v>
      </c>
      <c r="C93" s="180" t="s">
        <v>159</v>
      </c>
      <c r="D93" s="179">
        <v>294758859.91000003</v>
      </c>
    </row>
    <row r="94" spans="1:4" ht="13.5">
      <c r="A94" s="176" t="s">
        <v>323</v>
      </c>
      <c r="B94" s="177">
        <v>6</v>
      </c>
      <c r="C94" s="181" t="s">
        <v>308</v>
      </c>
      <c r="D94" s="179">
        <v>10984561.33</v>
      </c>
    </row>
    <row r="95" spans="1:4" ht="13.5">
      <c r="A95" s="176" t="s">
        <v>309</v>
      </c>
      <c r="B95" s="177">
        <v>0</v>
      </c>
      <c r="C95" s="182" t="s">
        <v>310</v>
      </c>
      <c r="D95" s="179">
        <v>10984561.33</v>
      </c>
    </row>
    <row r="96" spans="1:4" ht="13.5">
      <c r="A96" s="176" t="s">
        <v>311</v>
      </c>
      <c r="B96" s="177">
        <v>1</v>
      </c>
      <c r="C96" s="183" t="s">
        <v>987</v>
      </c>
      <c r="D96" s="179">
        <v>10984561.33</v>
      </c>
    </row>
    <row r="97" spans="1:4" ht="13.5">
      <c r="A97" s="176" t="s">
        <v>247</v>
      </c>
      <c r="B97" s="177">
        <v>0</v>
      </c>
      <c r="C97" s="184" t="s">
        <v>988</v>
      </c>
      <c r="D97" s="179">
        <v>10984561.33</v>
      </c>
    </row>
    <row r="98" spans="1:4" ht="13.5">
      <c r="A98" s="176" t="s">
        <v>160</v>
      </c>
      <c r="B98" s="177">
        <v>4</v>
      </c>
      <c r="C98" s="181" t="s">
        <v>161</v>
      </c>
      <c r="D98" s="179">
        <v>271560189.62</v>
      </c>
    </row>
    <row r="99" spans="1:4" ht="13.5">
      <c r="A99" s="176" t="s">
        <v>324</v>
      </c>
      <c r="B99" s="177">
        <v>8</v>
      </c>
      <c r="C99" s="182" t="s">
        <v>518</v>
      </c>
      <c r="D99" s="179">
        <v>5047365.17</v>
      </c>
    </row>
    <row r="100" spans="1:4" ht="13.5">
      <c r="A100" s="176" t="s">
        <v>162</v>
      </c>
      <c r="B100" s="177">
        <v>0</v>
      </c>
      <c r="C100" s="183" t="s">
        <v>1072</v>
      </c>
      <c r="D100" s="179">
        <v>5047365.17</v>
      </c>
    </row>
    <row r="101" spans="1:4" ht="13.5">
      <c r="A101" s="176" t="s">
        <v>301</v>
      </c>
      <c r="B101" s="177">
        <v>8</v>
      </c>
      <c r="C101" s="184" t="s">
        <v>844</v>
      </c>
      <c r="D101" s="179">
        <v>4471915.95</v>
      </c>
    </row>
    <row r="102" spans="1:4" ht="13.5">
      <c r="A102" s="176" t="s">
        <v>164</v>
      </c>
      <c r="B102" s="177">
        <v>4</v>
      </c>
      <c r="C102" s="184" t="s">
        <v>846</v>
      </c>
      <c r="D102" s="179">
        <v>481620.89</v>
      </c>
    </row>
    <row r="103" spans="1:4" ht="13.5">
      <c r="A103" s="176" t="s">
        <v>165</v>
      </c>
      <c r="B103" s="177">
        <v>2</v>
      </c>
      <c r="C103" s="184" t="s">
        <v>1158</v>
      </c>
      <c r="D103" s="179">
        <v>93828.33</v>
      </c>
    </row>
    <row r="104" spans="1:4" ht="13.5">
      <c r="A104" s="176" t="s">
        <v>524</v>
      </c>
      <c r="B104" s="177">
        <v>1</v>
      </c>
      <c r="C104" s="182" t="s">
        <v>525</v>
      </c>
      <c r="D104" s="179">
        <v>60060.160000000003</v>
      </c>
    </row>
    <row r="105" spans="1:4" ht="13.5">
      <c r="A105" s="176" t="s">
        <v>526</v>
      </c>
      <c r="B105" s="177">
        <v>9</v>
      </c>
      <c r="C105" s="183" t="s">
        <v>1073</v>
      </c>
      <c r="D105" s="179">
        <v>41078.74</v>
      </c>
    </row>
    <row r="106" spans="1:4" ht="13.5">
      <c r="A106" s="176" t="s">
        <v>528</v>
      </c>
      <c r="B106" s="177">
        <v>5</v>
      </c>
      <c r="C106" s="184" t="s">
        <v>849</v>
      </c>
      <c r="D106" s="179">
        <v>41078.74</v>
      </c>
    </row>
    <row r="107" spans="1:4" ht="13.5">
      <c r="A107" s="176" t="s">
        <v>768</v>
      </c>
      <c r="B107" s="177">
        <v>0</v>
      </c>
      <c r="C107" s="183" t="s">
        <v>769</v>
      </c>
      <c r="D107" s="179">
        <v>18981.419999999998</v>
      </c>
    </row>
    <row r="108" spans="1:4" ht="13.5">
      <c r="A108" s="176" t="s">
        <v>770</v>
      </c>
      <c r="B108" s="177">
        <v>9</v>
      </c>
      <c r="C108" s="184" t="s">
        <v>1074</v>
      </c>
      <c r="D108" s="179">
        <v>4629.6099999999997</v>
      </c>
    </row>
    <row r="109" spans="1:4" ht="13.5">
      <c r="A109" s="176" t="s">
        <v>772</v>
      </c>
      <c r="B109" s="177">
        <v>8</v>
      </c>
      <c r="C109" s="184" t="s">
        <v>1075</v>
      </c>
      <c r="D109" s="179">
        <v>3086.41</v>
      </c>
    </row>
    <row r="110" spans="1:4" ht="13.5">
      <c r="A110" s="176" t="s">
        <v>774</v>
      </c>
      <c r="B110" s="177">
        <v>6</v>
      </c>
      <c r="C110" s="184" t="s">
        <v>1076</v>
      </c>
      <c r="D110" s="179">
        <v>9259.23</v>
      </c>
    </row>
    <row r="111" spans="1:4" ht="13.5">
      <c r="A111" s="176" t="s">
        <v>776</v>
      </c>
      <c r="B111" s="177">
        <v>4</v>
      </c>
      <c r="C111" s="184" t="s">
        <v>1077</v>
      </c>
      <c r="D111" s="179">
        <v>2006.17</v>
      </c>
    </row>
    <row r="112" spans="1:4" ht="13.5">
      <c r="A112" s="176" t="s">
        <v>326</v>
      </c>
      <c r="B112" s="177">
        <v>5</v>
      </c>
      <c r="C112" s="182" t="s">
        <v>530</v>
      </c>
      <c r="D112" s="179">
        <v>266452764.28999999</v>
      </c>
    </row>
    <row r="113" spans="1:4" ht="13.5">
      <c r="A113" s="176" t="s">
        <v>166</v>
      </c>
      <c r="B113" s="177">
        <v>1</v>
      </c>
      <c r="C113" s="183" t="s">
        <v>167</v>
      </c>
      <c r="D113" s="179">
        <v>266452764.28999999</v>
      </c>
    </row>
    <row r="114" spans="1:4" ht="13.5">
      <c r="A114" s="176" t="s">
        <v>168</v>
      </c>
      <c r="B114" s="177">
        <v>0</v>
      </c>
      <c r="C114" s="184" t="s">
        <v>908</v>
      </c>
      <c r="D114" s="179">
        <v>204996884.22999999</v>
      </c>
    </row>
    <row r="115" spans="1:4" ht="13.5">
      <c r="A115" s="176" t="s">
        <v>169</v>
      </c>
      <c r="B115" s="177">
        <v>8</v>
      </c>
      <c r="C115" s="184" t="s">
        <v>909</v>
      </c>
      <c r="D115" s="179">
        <v>61455880.060000002</v>
      </c>
    </row>
    <row r="116" spans="1:4" ht="13.5">
      <c r="A116" s="176" t="s">
        <v>325</v>
      </c>
      <c r="B116" s="177">
        <v>5</v>
      </c>
      <c r="C116" s="181" t="s">
        <v>170</v>
      </c>
      <c r="D116" s="179">
        <v>12214108.960000001</v>
      </c>
    </row>
    <row r="117" spans="1:4" ht="13.5">
      <c r="A117" s="176" t="s">
        <v>171</v>
      </c>
      <c r="B117" s="177">
        <v>6</v>
      </c>
      <c r="C117" s="182" t="s">
        <v>172</v>
      </c>
      <c r="D117" s="179">
        <v>783724.4</v>
      </c>
    </row>
    <row r="118" spans="1:4" ht="13.5">
      <c r="A118" s="176" t="s">
        <v>173</v>
      </c>
      <c r="B118" s="177">
        <v>8</v>
      </c>
      <c r="C118" s="183" t="s">
        <v>1078</v>
      </c>
      <c r="D118" s="179">
        <v>783724.4</v>
      </c>
    </row>
    <row r="119" spans="1:4" ht="13.5">
      <c r="A119" s="176" t="s">
        <v>534</v>
      </c>
      <c r="B119" s="177">
        <v>6</v>
      </c>
      <c r="C119" s="184" t="s">
        <v>851</v>
      </c>
      <c r="D119" s="179">
        <v>164981.01999999999</v>
      </c>
    </row>
    <row r="120" spans="1:4" ht="13.5">
      <c r="A120" s="176" t="s">
        <v>536</v>
      </c>
      <c r="B120" s="177">
        <v>4</v>
      </c>
      <c r="C120" s="184" t="s">
        <v>852</v>
      </c>
      <c r="D120" s="179">
        <v>18504.060000000001</v>
      </c>
    </row>
    <row r="121" spans="1:4" ht="13.5">
      <c r="A121" s="176" t="s">
        <v>538</v>
      </c>
      <c r="B121" s="177">
        <v>2</v>
      </c>
      <c r="C121" s="184" t="s">
        <v>853</v>
      </c>
      <c r="D121" s="179">
        <v>13589.24</v>
      </c>
    </row>
    <row r="122" spans="1:4" ht="13.5">
      <c r="A122" s="176" t="s">
        <v>540</v>
      </c>
      <c r="B122" s="177">
        <v>0</v>
      </c>
      <c r="C122" s="184" t="s">
        <v>854</v>
      </c>
      <c r="D122" s="179">
        <v>32996.199999999997</v>
      </c>
    </row>
    <row r="123" spans="1:4" ht="13.5">
      <c r="A123" s="176" t="s">
        <v>174</v>
      </c>
      <c r="B123" s="177">
        <v>9</v>
      </c>
      <c r="C123" s="184" t="s">
        <v>855</v>
      </c>
      <c r="D123" s="179">
        <v>387424.47</v>
      </c>
    </row>
    <row r="124" spans="1:4" ht="13.5">
      <c r="A124" s="176" t="s">
        <v>175</v>
      </c>
      <c r="B124" s="177">
        <v>7</v>
      </c>
      <c r="C124" s="184" t="s">
        <v>856</v>
      </c>
      <c r="D124" s="179">
        <v>124826.49</v>
      </c>
    </row>
    <row r="125" spans="1:4" ht="13.5">
      <c r="A125" s="176" t="s">
        <v>176</v>
      </c>
      <c r="B125" s="177">
        <v>5</v>
      </c>
      <c r="C125" s="184" t="s">
        <v>857</v>
      </c>
      <c r="D125" s="179">
        <v>41402.92</v>
      </c>
    </row>
    <row r="126" spans="1:4" ht="13.5">
      <c r="A126" s="176" t="s">
        <v>545</v>
      </c>
      <c r="B126" s="177">
        <v>7</v>
      </c>
      <c r="C126" s="182" t="s">
        <v>546</v>
      </c>
      <c r="D126" s="179">
        <v>10249353.1</v>
      </c>
    </row>
    <row r="127" spans="1:4" ht="13.5">
      <c r="A127" s="176" t="s">
        <v>1079</v>
      </c>
      <c r="B127" s="177">
        <v>9</v>
      </c>
      <c r="C127" s="183" t="s">
        <v>1080</v>
      </c>
      <c r="D127" s="179">
        <v>10249353.1</v>
      </c>
    </row>
    <row r="128" spans="1:4" ht="13.5">
      <c r="A128" s="176" t="s">
        <v>1081</v>
      </c>
      <c r="B128" s="177">
        <v>7</v>
      </c>
      <c r="C128" s="184" t="s">
        <v>1082</v>
      </c>
      <c r="D128" s="179">
        <v>6774056.3200000003</v>
      </c>
    </row>
    <row r="129" spans="1:4" ht="13.5">
      <c r="A129" s="176" t="s">
        <v>1159</v>
      </c>
      <c r="B129" s="177">
        <v>3</v>
      </c>
      <c r="C129" s="184" t="s">
        <v>1160</v>
      </c>
      <c r="D129" s="179">
        <v>3475296.78</v>
      </c>
    </row>
    <row r="130" spans="1:4" ht="13.5">
      <c r="A130" s="176" t="s">
        <v>177</v>
      </c>
      <c r="B130" s="177">
        <v>7</v>
      </c>
      <c r="C130" s="182" t="s">
        <v>178</v>
      </c>
      <c r="D130" s="179">
        <v>1181031.46</v>
      </c>
    </row>
    <row r="131" spans="1:4" ht="13.5">
      <c r="A131" s="176" t="s">
        <v>179</v>
      </c>
      <c r="B131" s="177">
        <v>0</v>
      </c>
      <c r="C131" s="183" t="s">
        <v>858</v>
      </c>
      <c r="D131" s="179">
        <v>1181031.46</v>
      </c>
    </row>
    <row r="132" spans="1:4" ht="13.5">
      <c r="A132" s="176" t="s">
        <v>180</v>
      </c>
      <c r="B132" s="177">
        <v>9</v>
      </c>
      <c r="C132" s="184" t="s">
        <v>859</v>
      </c>
      <c r="D132" s="179">
        <v>642646.22</v>
      </c>
    </row>
    <row r="133" spans="1:4" ht="13.5">
      <c r="A133" s="176" t="s">
        <v>181</v>
      </c>
      <c r="B133" s="177">
        <v>7</v>
      </c>
      <c r="C133" s="184" t="s">
        <v>860</v>
      </c>
      <c r="D133" s="179">
        <v>250096.03</v>
      </c>
    </row>
    <row r="134" spans="1:4" ht="13.5">
      <c r="A134" s="176" t="s">
        <v>182</v>
      </c>
      <c r="B134" s="177">
        <v>5</v>
      </c>
      <c r="C134" s="184" t="s">
        <v>1085</v>
      </c>
      <c r="D134" s="179">
        <v>85509.34</v>
      </c>
    </row>
    <row r="135" spans="1:4" ht="13.5">
      <c r="A135" s="176" t="s">
        <v>183</v>
      </c>
      <c r="B135" s="177">
        <v>1</v>
      </c>
      <c r="C135" s="184" t="s">
        <v>1088</v>
      </c>
      <c r="D135" s="179">
        <v>202779.87</v>
      </c>
    </row>
    <row r="136" spans="1:4" ht="13.5">
      <c r="A136" s="176" t="s">
        <v>1161</v>
      </c>
      <c r="B136" s="177">
        <v>9</v>
      </c>
      <c r="C136" s="178" t="s">
        <v>184</v>
      </c>
      <c r="D136" s="179">
        <v>3389943269.5100002</v>
      </c>
    </row>
    <row r="137" spans="1:4" ht="13.5">
      <c r="A137" s="176" t="s">
        <v>185</v>
      </c>
      <c r="B137" s="177">
        <v>6</v>
      </c>
      <c r="C137" s="180" t="s">
        <v>184</v>
      </c>
      <c r="D137" s="179">
        <v>3389943269.5100002</v>
      </c>
    </row>
    <row r="138" spans="1:4" ht="13.5">
      <c r="A138" s="176" t="s">
        <v>186</v>
      </c>
      <c r="B138" s="177">
        <v>4</v>
      </c>
      <c r="C138" s="181" t="s">
        <v>187</v>
      </c>
      <c r="D138" s="179">
        <v>2903635696.5700002</v>
      </c>
    </row>
    <row r="139" spans="1:4" ht="13.5">
      <c r="A139" s="176" t="s">
        <v>327</v>
      </c>
      <c r="B139" s="177">
        <v>8</v>
      </c>
      <c r="C139" s="182" t="s">
        <v>188</v>
      </c>
      <c r="D139" s="179">
        <v>4000000000</v>
      </c>
    </row>
    <row r="140" spans="1:4" ht="13.5">
      <c r="A140" s="176" t="s">
        <v>189</v>
      </c>
      <c r="B140" s="177">
        <v>3</v>
      </c>
      <c r="C140" s="183" t="s">
        <v>190</v>
      </c>
      <c r="D140" s="179">
        <v>4000000000</v>
      </c>
    </row>
    <row r="141" spans="1:4" ht="13.5">
      <c r="A141" s="176" t="s">
        <v>191</v>
      </c>
      <c r="B141" s="177">
        <v>3</v>
      </c>
      <c r="C141" s="184" t="s">
        <v>188</v>
      </c>
      <c r="D141" s="179">
        <v>4000000000</v>
      </c>
    </row>
    <row r="142" spans="1:4" ht="13.5">
      <c r="A142" s="176" t="s">
        <v>328</v>
      </c>
      <c r="B142" s="177">
        <v>2</v>
      </c>
      <c r="C142" s="182" t="s">
        <v>192</v>
      </c>
      <c r="D142" s="179">
        <v>-1096364303.4300001</v>
      </c>
    </row>
    <row r="143" spans="1:4" ht="13.5">
      <c r="A143" s="176" t="s">
        <v>193</v>
      </c>
      <c r="B143" s="177">
        <v>8</v>
      </c>
      <c r="C143" s="183" t="s">
        <v>194</v>
      </c>
      <c r="D143" s="179">
        <v>-1096364303.4300001</v>
      </c>
    </row>
    <row r="144" spans="1:4" ht="13.5">
      <c r="A144" s="176" t="s">
        <v>195</v>
      </c>
      <c r="B144" s="177">
        <v>2</v>
      </c>
      <c r="C144" s="184" t="s">
        <v>911</v>
      </c>
      <c r="D144" s="179">
        <v>-1096364303.4300001</v>
      </c>
    </row>
    <row r="145" spans="1:4" ht="13.5">
      <c r="A145" s="176" t="s">
        <v>330</v>
      </c>
      <c r="B145" s="177">
        <v>7</v>
      </c>
      <c r="C145" s="181" t="s">
        <v>196</v>
      </c>
      <c r="D145" s="179">
        <v>143362590.34999999</v>
      </c>
    </row>
    <row r="146" spans="1:4" ht="13.5">
      <c r="A146" s="176" t="s">
        <v>197</v>
      </c>
      <c r="B146" s="177">
        <v>0</v>
      </c>
      <c r="C146" s="182" t="s">
        <v>198</v>
      </c>
      <c r="D146" s="179">
        <v>110408906.36</v>
      </c>
    </row>
    <row r="147" spans="1:4" ht="13.5">
      <c r="A147" s="176" t="s">
        <v>199</v>
      </c>
      <c r="B147" s="177">
        <v>1</v>
      </c>
      <c r="C147" s="183" t="s">
        <v>198</v>
      </c>
      <c r="D147" s="179">
        <v>110408906.36</v>
      </c>
    </row>
    <row r="148" spans="1:4" ht="13.5">
      <c r="A148" s="176" t="s">
        <v>200</v>
      </c>
      <c r="B148" s="177">
        <v>0</v>
      </c>
      <c r="C148" s="184" t="s">
        <v>198</v>
      </c>
      <c r="D148" s="179">
        <v>110408906.36</v>
      </c>
    </row>
    <row r="149" spans="1:4" ht="13.5">
      <c r="A149" s="176" t="s">
        <v>201</v>
      </c>
      <c r="B149" s="177">
        <v>4</v>
      </c>
      <c r="C149" s="182" t="s">
        <v>202</v>
      </c>
      <c r="D149" s="179">
        <v>32953683.989999998</v>
      </c>
    </row>
    <row r="150" spans="1:4" ht="13.5">
      <c r="A150" s="176" t="s">
        <v>203</v>
      </c>
      <c r="B150" s="177">
        <v>0</v>
      </c>
      <c r="C150" s="183" t="s">
        <v>202</v>
      </c>
      <c r="D150" s="179">
        <v>32953683.989999998</v>
      </c>
    </row>
    <row r="151" spans="1:4" ht="13.5">
      <c r="A151" s="176" t="s">
        <v>204</v>
      </c>
      <c r="B151" s="177">
        <v>4</v>
      </c>
      <c r="C151" s="184" t="s">
        <v>912</v>
      </c>
      <c r="D151" s="179">
        <v>32953683.989999998</v>
      </c>
    </row>
    <row r="152" spans="1:4" ht="13.5">
      <c r="A152" s="176" t="s">
        <v>329</v>
      </c>
      <c r="B152" s="177">
        <v>5</v>
      </c>
      <c r="C152" s="181" t="s">
        <v>205</v>
      </c>
      <c r="D152" s="179">
        <v>389195767.13999999</v>
      </c>
    </row>
    <row r="153" spans="1:4" ht="13.5">
      <c r="A153" s="176" t="s">
        <v>206</v>
      </c>
      <c r="B153" s="177">
        <v>9</v>
      </c>
      <c r="C153" s="182" t="s">
        <v>207</v>
      </c>
      <c r="D153" s="179">
        <v>310709727.49000001</v>
      </c>
    </row>
    <row r="154" spans="1:4" ht="13.5">
      <c r="A154" s="176" t="s">
        <v>208</v>
      </c>
      <c r="B154" s="177">
        <v>4</v>
      </c>
      <c r="C154" s="183" t="s">
        <v>209</v>
      </c>
      <c r="D154" s="179">
        <v>397329617.69</v>
      </c>
    </row>
    <row r="155" spans="1:4" ht="13.5">
      <c r="A155" s="176" t="s">
        <v>210</v>
      </c>
      <c r="B155" s="177">
        <v>9</v>
      </c>
      <c r="C155" s="184" t="s">
        <v>913</v>
      </c>
      <c r="D155" s="179">
        <v>663376939.14999998</v>
      </c>
    </row>
    <row r="156" spans="1:4" ht="13.5">
      <c r="A156" s="176" t="s">
        <v>211</v>
      </c>
      <c r="B156" s="177">
        <v>7</v>
      </c>
      <c r="C156" s="184" t="s">
        <v>914</v>
      </c>
      <c r="D156" s="179">
        <v>-266047321.46000001</v>
      </c>
    </row>
    <row r="157" spans="1:4" ht="13.5">
      <c r="A157" s="176" t="s">
        <v>213</v>
      </c>
      <c r="B157" s="177">
        <v>0</v>
      </c>
      <c r="C157" s="183" t="s">
        <v>863</v>
      </c>
      <c r="D157" s="179">
        <v>-86619890.200000003</v>
      </c>
    </row>
    <row r="158" spans="1:4" ht="13.5">
      <c r="A158" s="176" t="s">
        <v>214</v>
      </c>
      <c r="B158" s="177">
        <v>1</v>
      </c>
      <c r="C158" s="184" t="s">
        <v>864</v>
      </c>
      <c r="D158" s="179">
        <v>-86619890.200000003</v>
      </c>
    </row>
    <row r="159" spans="1:4" ht="13.5">
      <c r="A159" s="176" t="s">
        <v>297</v>
      </c>
      <c r="B159" s="177">
        <v>8</v>
      </c>
      <c r="C159" s="182" t="s">
        <v>298</v>
      </c>
      <c r="D159" s="179">
        <v>78486039.650000006</v>
      </c>
    </row>
    <row r="160" spans="1:4" ht="13.5">
      <c r="A160" s="176" t="s">
        <v>299</v>
      </c>
      <c r="B160" s="177">
        <v>9</v>
      </c>
      <c r="C160" s="183" t="s">
        <v>298</v>
      </c>
      <c r="D160" s="179">
        <v>64591710.090000004</v>
      </c>
    </row>
    <row r="161" spans="1:4" ht="13.5">
      <c r="A161" s="176" t="s">
        <v>300</v>
      </c>
      <c r="B161" s="177">
        <v>7</v>
      </c>
      <c r="C161" s="184" t="s">
        <v>1089</v>
      </c>
      <c r="D161" s="179">
        <v>64591710.090000004</v>
      </c>
    </row>
    <row r="162" spans="1:4" ht="13.5">
      <c r="A162" s="176" t="s">
        <v>865</v>
      </c>
      <c r="B162" s="177">
        <v>4</v>
      </c>
      <c r="C162" s="183" t="s">
        <v>866</v>
      </c>
      <c r="D162" s="179">
        <v>13894329.560000001</v>
      </c>
    </row>
    <row r="163" spans="1:4" ht="13.5">
      <c r="A163" s="176" t="s">
        <v>867</v>
      </c>
      <c r="B163" s="177">
        <v>0</v>
      </c>
      <c r="C163" s="184" t="s">
        <v>868</v>
      </c>
      <c r="D163" s="179">
        <v>167259.56</v>
      </c>
    </row>
    <row r="164" spans="1:4" ht="13.5">
      <c r="A164" s="176" t="s">
        <v>1090</v>
      </c>
      <c r="B164" s="177">
        <v>9</v>
      </c>
      <c r="C164" s="184" t="s">
        <v>1091</v>
      </c>
      <c r="D164" s="179">
        <v>13727070</v>
      </c>
    </row>
    <row r="165" spans="1:4" ht="13.5">
      <c r="A165" s="176" t="s">
        <v>679</v>
      </c>
      <c r="B165" s="177">
        <v>1</v>
      </c>
      <c r="C165" s="181" t="s">
        <v>680</v>
      </c>
      <c r="D165" s="179">
        <v>-46250784.549999997</v>
      </c>
    </row>
    <row r="166" spans="1:4" ht="13.5">
      <c r="A166" s="176" t="s">
        <v>681</v>
      </c>
      <c r="B166" s="177">
        <v>5</v>
      </c>
      <c r="C166" s="182" t="s">
        <v>680</v>
      </c>
      <c r="D166" s="179">
        <v>-46250784.549999997</v>
      </c>
    </row>
    <row r="167" spans="1:4" ht="13.5">
      <c r="A167" s="176" t="s">
        <v>682</v>
      </c>
      <c r="B167" s="177">
        <v>0</v>
      </c>
      <c r="C167" s="183" t="s">
        <v>680</v>
      </c>
      <c r="D167" s="179">
        <v>-46250784.549999997</v>
      </c>
    </row>
    <row r="168" spans="1:4" ht="13.5">
      <c r="A168" s="176" t="s">
        <v>683</v>
      </c>
      <c r="B168" s="177">
        <v>5</v>
      </c>
      <c r="C168" s="184" t="s">
        <v>684</v>
      </c>
      <c r="D168" s="179">
        <v>-46250784.549999997</v>
      </c>
    </row>
    <row r="169" spans="1:4" ht="13.5">
      <c r="A169" s="176" t="s">
        <v>1162</v>
      </c>
      <c r="B169" s="177">
        <v>5</v>
      </c>
      <c r="C169" s="178" t="s">
        <v>215</v>
      </c>
      <c r="D169" s="179">
        <v>273877156.49000001</v>
      </c>
    </row>
    <row r="170" spans="1:4" ht="13.5">
      <c r="A170" s="176" t="s">
        <v>216</v>
      </c>
      <c r="B170" s="177">
        <v>2</v>
      </c>
      <c r="C170" s="180" t="s">
        <v>217</v>
      </c>
      <c r="D170" s="179">
        <v>273877156.49000001</v>
      </c>
    </row>
    <row r="171" spans="1:4" ht="13.5">
      <c r="A171" s="176" t="s">
        <v>339</v>
      </c>
      <c r="B171" s="177">
        <v>5</v>
      </c>
      <c r="C171" s="181" t="s">
        <v>218</v>
      </c>
      <c r="D171" s="179">
        <v>10301001.41</v>
      </c>
    </row>
    <row r="172" spans="1:4" ht="13.5">
      <c r="A172" s="176" t="s">
        <v>219</v>
      </c>
      <c r="B172" s="177">
        <v>9</v>
      </c>
      <c r="C172" s="182" t="s">
        <v>220</v>
      </c>
      <c r="D172" s="179">
        <v>10301001.41</v>
      </c>
    </row>
    <row r="173" spans="1:4" ht="13.5">
      <c r="A173" s="176" t="s">
        <v>221</v>
      </c>
      <c r="B173" s="177">
        <v>0</v>
      </c>
      <c r="C173" s="183" t="s">
        <v>916</v>
      </c>
      <c r="D173" s="179">
        <v>10301001.41</v>
      </c>
    </row>
    <row r="174" spans="1:4" ht="13.5">
      <c r="A174" s="176" t="s">
        <v>223</v>
      </c>
      <c r="B174" s="177">
        <v>9</v>
      </c>
      <c r="C174" s="184" t="s">
        <v>1163</v>
      </c>
      <c r="D174" s="179">
        <v>10301001.41</v>
      </c>
    </row>
    <row r="175" spans="1:4" ht="13.5">
      <c r="A175" s="176" t="s">
        <v>340</v>
      </c>
      <c r="B175" s="177">
        <v>3</v>
      </c>
      <c r="C175" s="181" t="s">
        <v>224</v>
      </c>
      <c r="D175" s="179">
        <v>103692885.66</v>
      </c>
    </row>
    <row r="176" spans="1:4" ht="13.5">
      <c r="A176" s="176" t="s">
        <v>225</v>
      </c>
      <c r="B176" s="177">
        <v>7</v>
      </c>
      <c r="C176" s="182" t="s">
        <v>226</v>
      </c>
      <c r="D176" s="179">
        <v>65576651.810000002</v>
      </c>
    </row>
    <row r="177" spans="1:4" ht="13.5">
      <c r="A177" s="176" t="s">
        <v>227</v>
      </c>
      <c r="B177" s="177">
        <v>5</v>
      </c>
      <c r="C177" s="183" t="s">
        <v>869</v>
      </c>
      <c r="D177" s="179">
        <v>65576651.810000002</v>
      </c>
    </row>
    <row r="178" spans="1:4" ht="13.5">
      <c r="A178" s="176" t="s">
        <v>228</v>
      </c>
      <c r="B178" s="177">
        <v>3</v>
      </c>
      <c r="C178" s="184" t="s">
        <v>870</v>
      </c>
      <c r="D178" s="179">
        <v>65576651.810000002</v>
      </c>
    </row>
    <row r="179" spans="1:4" ht="13.5">
      <c r="A179" s="176" t="s">
        <v>566</v>
      </c>
      <c r="B179" s="177">
        <v>0</v>
      </c>
      <c r="C179" s="182" t="s">
        <v>567</v>
      </c>
      <c r="D179" s="179">
        <v>25941570.149999999</v>
      </c>
    </row>
    <row r="180" spans="1:4" ht="13.5">
      <c r="A180" s="176" t="s">
        <v>568</v>
      </c>
      <c r="B180" s="177">
        <v>9</v>
      </c>
      <c r="C180" s="183" t="s">
        <v>918</v>
      </c>
      <c r="D180" s="179">
        <v>25941570.149999999</v>
      </c>
    </row>
    <row r="181" spans="1:4" ht="13.5">
      <c r="A181" s="176" t="s">
        <v>570</v>
      </c>
      <c r="B181" s="177">
        <v>7</v>
      </c>
      <c r="C181" s="184" t="s">
        <v>571</v>
      </c>
      <c r="D181" s="179">
        <v>15755831.550000001</v>
      </c>
    </row>
    <row r="182" spans="1:4" ht="13.5">
      <c r="A182" s="176" t="s">
        <v>572</v>
      </c>
      <c r="B182" s="177">
        <v>5</v>
      </c>
      <c r="C182" s="184" t="s">
        <v>573</v>
      </c>
      <c r="D182" s="179">
        <v>10185738.6</v>
      </c>
    </row>
    <row r="183" spans="1:4" ht="13.5">
      <c r="A183" s="176" t="s">
        <v>576</v>
      </c>
      <c r="B183" s="177">
        <v>8</v>
      </c>
      <c r="C183" s="182" t="s">
        <v>577</v>
      </c>
      <c r="D183" s="179">
        <v>12174663.699999999</v>
      </c>
    </row>
    <row r="184" spans="1:4" ht="13.5">
      <c r="A184" s="176" t="s">
        <v>578</v>
      </c>
      <c r="B184" s="177">
        <v>3</v>
      </c>
      <c r="C184" s="183" t="s">
        <v>579</v>
      </c>
      <c r="D184" s="179">
        <v>12174663.699999999</v>
      </c>
    </row>
    <row r="185" spans="1:4" ht="13.5">
      <c r="A185" s="176" t="s">
        <v>580</v>
      </c>
      <c r="B185" s="177">
        <v>8</v>
      </c>
      <c r="C185" s="184" t="s">
        <v>1092</v>
      </c>
      <c r="D185" s="179">
        <v>12174663.699999999</v>
      </c>
    </row>
    <row r="186" spans="1:4" ht="13.5">
      <c r="A186" s="176" t="s">
        <v>332</v>
      </c>
      <c r="B186" s="177">
        <v>8</v>
      </c>
      <c r="C186" s="181" t="s">
        <v>229</v>
      </c>
      <c r="D186" s="179">
        <v>158931859.44</v>
      </c>
    </row>
    <row r="187" spans="1:4" ht="13.5">
      <c r="A187" s="176" t="s">
        <v>230</v>
      </c>
      <c r="B187" s="177">
        <v>5</v>
      </c>
      <c r="C187" s="182" t="s">
        <v>231</v>
      </c>
      <c r="D187" s="179">
        <v>158931859.44</v>
      </c>
    </row>
    <row r="188" spans="1:4" ht="13.5">
      <c r="A188" s="176" t="s">
        <v>232</v>
      </c>
      <c r="B188" s="177">
        <v>0</v>
      </c>
      <c r="C188" s="183" t="s">
        <v>231</v>
      </c>
      <c r="D188" s="179">
        <v>158931859.44</v>
      </c>
    </row>
    <row r="189" spans="1:4" ht="13.5">
      <c r="A189" s="176" t="s">
        <v>234</v>
      </c>
      <c r="B189" s="177">
        <v>2</v>
      </c>
      <c r="C189" s="184" t="s">
        <v>1093</v>
      </c>
      <c r="D189" s="179">
        <v>30786646.5</v>
      </c>
    </row>
    <row r="190" spans="1:4" ht="13.5">
      <c r="A190" s="176" t="s">
        <v>1094</v>
      </c>
      <c r="B190" s="177">
        <v>0</v>
      </c>
      <c r="C190" s="184" t="s">
        <v>1095</v>
      </c>
      <c r="D190" s="179">
        <v>82182458.75</v>
      </c>
    </row>
    <row r="191" spans="1:4" ht="13.5">
      <c r="A191" s="176" t="s">
        <v>1096</v>
      </c>
      <c r="B191" s="177">
        <v>9</v>
      </c>
      <c r="C191" s="184" t="s">
        <v>1097</v>
      </c>
      <c r="D191" s="179">
        <v>220975.59</v>
      </c>
    </row>
    <row r="192" spans="1:4" ht="13.5">
      <c r="A192" s="176" t="s">
        <v>1098</v>
      </c>
      <c r="B192" s="177">
        <v>7</v>
      </c>
      <c r="C192" s="184" t="s">
        <v>1099</v>
      </c>
      <c r="D192" s="179">
        <v>319201.58</v>
      </c>
    </row>
    <row r="193" spans="1:4" ht="13.5">
      <c r="A193" s="176" t="s">
        <v>1100</v>
      </c>
      <c r="B193" s="177">
        <v>5</v>
      </c>
      <c r="C193" s="184" t="s">
        <v>1101</v>
      </c>
      <c r="D193" s="179">
        <v>30511787.379999999</v>
      </c>
    </row>
    <row r="194" spans="1:4" ht="13.5">
      <c r="A194" s="176" t="s">
        <v>1102</v>
      </c>
      <c r="B194" s="177">
        <v>3</v>
      </c>
      <c r="C194" s="184" t="s">
        <v>1103</v>
      </c>
      <c r="D194" s="179">
        <v>25210.83</v>
      </c>
    </row>
    <row r="195" spans="1:4" ht="13.5">
      <c r="A195" s="176" t="s">
        <v>1164</v>
      </c>
      <c r="B195" s="177">
        <v>0</v>
      </c>
      <c r="C195" s="184" t="s">
        <v>1165</v>
      </c>
      <c r="D195" s="179">
        <v>18623.22</v>
      </c>
    </row>
    <row r="196" spans="1:4" ht="13.5">
      <c r="A196" s="176" t="s">
        <v>1166</v>
      </c>
      <c r="B196" s="177">
        <v>8</v>
      </c>
      <c r="C196" s="184" t="s">
        <v>1167</v>
      </c>
      <c r="D196" s="179">
        <v>6331601.7999999998</v>
      </c>
    </row>
    <row r="197" spans="1:4" ht="13.5">
      <c r="A197" s="176" t="s">
        <v>1106</v>
      </c>
      <c r="B197" s="177">
        <v>6</v>
      </c>
      <c r="C197" s="184" t="s">
        <v>1107</v>
      </c>
      <c r="D197" s="179">
        <v>8498354.4800000004</v>
      </c>
    </row>
    <row r="198" spans="1:4" ht="13.5">
      <c r="A198" s="176" t="s">
        <v>1168</v>
      </c>
      <c r="B198" s="177">
        <v>0</v>
      </c>
      <c r="C198" s="184" t="s">
        <v>1169</v>
      </c>
      <c r="D198" s="179">
        <v>36999.31</v>
      </c>
    </row>
    <row r="199" spans="1:4" ht="13.5">
      <c r="A199" s="176" t="s">
        <v>335</v>
      </c>
      <c r="B199" s="177">
        <v>6</v>
      </c>
      <c r="C199" s="181" t="s">
        <v>236</v>
      </c>
      <c r="D199" s="179">
        <v>951409.98</v>
      </c>
    </row>
    <row r="200" spans="1:4" ht="13.5">
      <c r="A200" s="176" t="s">
        <v>1170</v>
      </c>
      <c r="B200" s="177">
        <v>7</v>
      </c>
      <c r="C200" s="182" t="s">
        <v>1171</v>
      </c>
      <c r="D200" s="179">
        <v>21066.31</v>
      </c>
    </row>
    <row r="201" spans="1:4" ht="13.5">
      <c r="A201" s="176" t="s">
        <v>1172</v>
      </c>
      <c r="B201" s="177">
        <v>2</v>
      </c>
      <c r="C201" s="183" t="s">
        <v>1171</v>
      </c>
      <c r="D201" s="179">
        <v>21066.31</v>
      </c>
    </row>
    <row r="202" spans="1:4" ht="13.5">
      <c r="A202" s="176" t="s">
        <v>1173</v>
      </c>
      <c r="B202" s="177">
        <v>2</v>
      </c>
      <c r="C202" s="184" t="s">
        <v>1174</v>
      </c>
      <c r="D202" s="179">
        <v>21066.31</v>
      </c>
    </row>
    <row r="203" spans="1:4" ht="13.5">
      <c r="A203" s="176" t="s">
        <v>237</v>
      </c>
      <c r="B203" s="177">
        <v>0</v>
      </c>
      <c r="C203" s="182" t="s">
        <v>238</v>
      </c>
      <c r="D203" s="179">
        <v>930343.67</v>
      </c>
    </row>
    <row r="204" spans="1:4" ht="13.5">
      <c r="A204" s="176" t="s">
        <v>239</v>
      </c>
      <c r="B204" s="177">
        <v>0</v>
      </c>
      <c r="C204" s="183" t="s">
        <v>1175</v>
      </c>
      <c r="D204" s="179">
        <v>27409.73</v>
      </c>
    </row>
    <row r="205" spans="1:4" ht="13.5">
      <c r="A205" s="176" t="s">
        <v>1176</v>
      </c>
      <c r="B205" s="177">
        <v>3</v>
      </c>
      <c r="C205" s="184" t="s">
        <v>1177</v>
      </c>
      <c r="D205" s="179">
        <v>27409.73</v>
      </c>
    </row>
    <row r="206" spans="1:4" ht="13.5">
      <c r="A206" s="176" t="s">
        <v>336</v>
      </c>
      <c r="B206" s="177">
        <v>9</v>
      </c>
      <c r="C206" s="183" t="s">
        <v>1108</v>
      </c>
      <c r="D206" s="179">
        <v>440302.37</v>
      </c>
    </row>
    <row r="207" spans="1:4" ht="13.5">
      <c r="A207" s="176" t="s">
        <v>333</v>
      </c>
      <c r="B207" s="177">
        <v>1</v>
      </c>
      <c r="C207" s="184" t="s">
        <v>1109</v>
      </c>
      <c r="D207" s="179">
        <v>440302.37</v>
      </c>
    </row>
    <row r="208" spans="1:4" ht="13.5">
      <c r="A208" s="176" t="s">
        <v>241</v>
      </c>
      <c r="B208" s="177">
        <v>9</v>
      </c>
      <c r="C208" s="183" t="s">
        <v>586</v>
      </c>
      <c r="D208" s="179">
        <v>462631.57</v>
      </c>
    </row>
    <row r="209" spans="1:4" ht="13.5">
      <c r="A209" s="176" t="s">
        <v>919</v>
      </c>
      <c r="B209" s="177">
        <v>0</v>
      </c>
      <c r="C209" s="184" t="s">
        <v>1111</v>
      </c>
      <c r="D209" s="179">
        <v>386513.79</v>
      </c>
    </row>
    <row r="210" spans="1:4" ht="13.5">
      <c r="A210" s="176" t="s">
        <v>1178</v>
      </c>
      <c r="B210" s="177">
        <v>8</v>
      </c>
      <c r="C210" s="184" t="s">
        <v>1179</v>
      </c>
      <c r="D210" s="179">
        <v>76117.78</v>
      </c>
    </row>
    <row r="211" spans="1:4" ht="13.5">
      <c r="A211" s="176" t="s">
        <v>1180</v>
      </c>
      <c r="B211" s="177">
        <v>1</v>
      </c>
      <c r="C211" s="178" t="s">
        <v>40</v>
      </c>
      <c r="D211" s="179">
        <v>227626371.94</v>
      </c>
    </row>
    <row r="212" spans="1:4" ht="13.5">
      <c r="A212" s="176" t="s">
        <v>41</v>
      </c>
      <c r="B212" s="177">
        <v>9</v>
      </c>
      <c r="C212" s="180" t="s">
        <v>42</v>
      </c>
      <c r="D212" s="179">
        <v>201344623.52000001</v>
      </c>
    </row>
    <row r="213" spans="1:4" ht="13.5">
      <c r="A213" s="176" t="s">
        <v>334</v>
      </c>
      <c r="B213" s="177">
        <v>8</v>
      </c>
      <c r="C213" s="181" t="s">
        <v>43</v>
      </c>
      <c r="D213" s="179">
        <v>141623400.78999999</v>
      </c>
    </row>
    <row r="214" spans="1:4" ht="13.5">
      <c r="A214" s="176" t="s">
        <v>44</v>
      </c>
      <c r="B214" s="177">
        <v>5</v>
      </c>
      <c r="C214" s="182" t="s">
        <v>45</v>
      </c>
      <c r="D214" s="179">
        <v>141623400.78999999</v>
      </c>
    </row>
    <row r="215" spans="1:4" ht="13.5">
      <c r="A215" s="176" t="s">
        <v>46</v>
      </c>
      <c r="B215" s="177">
        <v>0</v>
      </c>
      <c r="C215" s="183" t="s">
        <v>47</v>
      </c>
      <c r="D215" s="179">
        <v>141623400.78999999</v>
      </c>
    </row>
    <row r="216" spans="1:4" ht="13.5">
      <c r="A216" s="176" t="s">
        <v>49</v>
      </c>
      <c r="B216" s="177">
        <v>3</v>
      </c>
      <c r="C216" s="184" t="s">
        <v>1023</v>
      </c>
      <c r="D216" s="179">
        <v>20625661.559999999</v>
      </c>
    </row>
    <row r="217" spans="1:4" ht="13.5">
      <c r="A217" s="176" t="s">
        <v>50</v>
      </c>
      <c r="B217" s="177">
        <v>2</v>
      </c>
      <c r="C217" s="184" t="s">
        <v>1024</v>
      </c>
      <c r="D217" s="179">
        <v>18404442</v>
      </c>
    </row>
    <row r="218" spans="1:4" ht="13.5">
      <c r="A218" s="176" t="s">
        <v>1025</v>
      </c>
      <c r="B218" s="177">
        <v>0</v>
      </c>
      <c r="C218" s="184" t="s">
        <v>1026</v>
      </c>
      <c r="D218" s="179">
        <v>24560392.710000001</v>
      </c>
    </row>
    <row r="219" spans="1:4" ht="13.5">
      <c r="A219" s="176" t="s">
        <v>1027</v>
      </c>
      <c r="B219" s="177">
        <v>9</v>
      </c>
      <c r="C219" s="184" t="s">
        <v>1028</v>
      </c>
      <c r="D219" s="179">
        <v>41100837.5</v>
      </c>
    </row>
    <row r="220" spans="1:4" ht="13.5">
      <c r="A220" s="176" t="s">
        <v>1029</v>
      </c>
      <c r="B220" s="177">
        <v>7</v>
      </c>
      <c r="C220" s="184" t="s">
        <v>1030</v>
      </c>
      <c r="D220" s="179">
        <v>31461.83</v>
      </c>
    </row>
    <row r="221" spans="1:4" ht="13.5">
      <c r="A221" s="176" t="s">
        <v>1031</v>
      </c>
      <c r="B221" s="177">
        <v>5</v>
      </c>
      <c r="C221" s="184" t="s">
        <v>1032</v>
      </c>
      <c r="D221" s="179">
        <v>7855034.2400000002</v>
      </c>
    </row>
    <row r="222" spans="1:4" ht="13.5">
      <c r="A222" s="176" t="s">
        <v>1181</v>
      </c>
      <c r="B222" s="177">
        <v>3</v>
      </c>
      <c r="C222" s="184" t="s">
        <v>1182</v>
      </c>
      <c r="D222" s="179">
        <v>1731.2</v>
      </c>
    </row>
    <row r="223" spans="1:4" ht="13.5">
      <c r="A223" s="176" t="s">
        <v>1033</v>
      </c>
      <c r="B223" s="177">
        <v>1</v>
      </c>
      <c r="C223" s="184" t="s">
        <v>1034</v>
      </c>
      <c r="D223" s="179">
        <v>13893938.619999999</v>
      </c>
    </row>
    <row r="224" spans="1:4" ht="13.5">
      <c r="A224" s="176" t="s">
        <v>1035</v>
      </c>
      <c r="B224" s="177">
        <v>0</v>
      </c>
      <c r="C224" s="184" t="s">
        <v>1036</v>
      </c>
      <c r="D224" s="179">
        <v>264922.81</v>
      </c>
    </row>
    <row r="225" spans="1:4" ht="13.5">
      <c r="A225" s="176" t="s">
        <v>1037</v>
      </c>
      <c r="B225" s="177">
        <v>8</v>
      </c>
      <c r="C225" s="184" t="s">
        <v>1038</v>
      </c>
      <c r="D225" s="179">
        <v>6032345.4800000004</v>
      </c>
    </row>
    <row r="226" spans="1:4" ht="13.5">
      <c r="A226" s="176" t="s">
        <v>1039</v>
      </c>
      <c r="B226" s="177">
        <v>6</v>
      </c>
      <c r="C226" s="184" t="s">
        <v>1040</v>
      </c>
      <c r="D226" s="179">
        <v>2007460.64</v>
      </c>
    </row>
    <row r="227" spans="1:4" ht="13.5">
      <c r="A227" s="176" t="s">
        <v>1183</v>
      </c>
      <c r="B227" s="177">
        <v>0</v>
      </c>
      <c r="C227" s="184" t="s">
        <v>1184</v>
      </c>
      <c r="D227" s="179">
        <v>5467857.71</v>
      </c>
    </row>
    <row r="228" spans="1:4" ht="13.5">
      <c r="A228" s="176" t="s">
        <v>1185</v>
      </c>
      <c r="B228" s="177">
        <v>8</v>
      </c>
      <c r="C228" s="184" t="s">
        <v>1186</v>
      </c>
      <c r="D228" s="179">
        <v>1377314.49</v>
      </c>
    </row>
    <row r="229" spans="1:4" ht="13.5">
      <c r="A229" s="176" t="s">
        <v>51</v>
      </c>
      <c r="B229" s="177">
        <v>6</v>
      </c>
      <c r="C229" s="181" t="s">
        <v>52</v>
      </c>
      <c r="D229" s="179">
        <v>14954913.630000001</v>
      </c>
    </row>
    <row r="230" spans="1:4" ht="13.5">
      <c r="A230" s="176" t="s">
        <v>53</v>
      </c>
      <c r="B230" s="177">
        <v>0</v>
      </c>
      <c r="C230" s="182" t="s">
        <v>54</v>
      </c>
      <c r="D230" s="179">
        <v>34283.199999999997</v>
      </c>
    </row>
    <row r="231" spans="1:4" ht="13.5">
      <c r="A231" s="176" t="s">
        <v>55</v>
      </c>
      <c r="B231" s="177">
        <v>1</v>
      </c>
      <c r="C231" s="183" t="s">
        <v>54</v>
      </c>
      <c r="D231" s="179">
        <v>34283.199999999997</v>
      </c>
    </row>
    <row r="232" spans="1:4" ht="13.5">
      <c r="A232" s="176" t="s">
        <v>56</v>
      </c>
      <c r="B232" s="177">
        <v>0</v>
      </c>
      <c r="C232" s="184" t="s">
        <v>801</v>
      </c>
      <c r="D232" s="179">
        <v>34283.199999999997</v>
      </c>
    </row>
    <row r="233" spans="1:4" ht="13.5">
      <c r="A233" s="176" t="s">
        <v>57</v>
      </c>
      <c r="B233" s="177">
        <v>3</v>
      </c>
      <c r="C233" s="182" t="s">
        <v>58</v>
      </c>
      <c r="D233" s="179">
        <v>393680.83</v>
      </c>
    </row>
    <row r="234" spans="1:4" ht="13.5">
      <c r="A234" s="176" t="s">
        <v>59</v>
      </c>
      <c r="B234" s="177">
        <v>5</v>
      </c>
      <c r="C234" s="183" t="s">
        <v>58</v>
      </c>
      <c r="D234" s="179">
        <v>393680.83</v>
      </c>
    </row>
    <row r="235" spans="1:4" ht="13.5">
      <c r="A235" s="176" t="s">
        <v>60</v>
      </c>
      <c r="B235" s="177">
        <v>3</v>
      </c>
      <c r="C235" s="184" t="s">
        <v>58</v>
      </c>
      <c r="D235" s="179">
        <v>393680.83</v>
      </c>
    </row>
    <row r="236" spans="1:4" ht="13.5">
      <c r="A236" s="176" t="s">
        <v>61</v>
      </c>
      <c r="B236" s="177">
        <v>6</v>
      </c>
      <c r="C236" s="182" t="s">
        <v>62</v>
      </c>
      <c r="D236" s="179">
        <v>3380543.33</v>
      </c>
    </row>
    <row r="237" spans="1:4" ht="13.5">
      <c r="A237" s="176" t="s">
        <v>63</v>
      </c>
      <c r="B237" s="177">
        <v>3</v>
      </c>
      <c r="C237" s="183" t="s">
        <v>802</v>
      </c>
      <c r="D237" s="179">
        <v>3380543.33</v>
      </c>
    </row>
    <row r="238" spans="1:4" ht="13.5">
      <c r="A238" s="176" t="s">
        <v>64</v>
      </c>
      <c r="B238" s="177">
        <v>1</v>
      </c>
      <c r="C238" s="184" t="s">
        <v>803</v>
      </c>
      <c r="D238" s="179">
        <v>2250133.58</v>
      </c>
    </row>
    <row r="239" spans="1:4" ht="13.5">
      <c r="A239" s="176" t="s">
        <v>65</v>
      </c>
      <c r="B239" s="177">
        <v>0</v>
      </c>
      <c r="C239" s="184" t="s">
        <v>804</v>
      </c>
      <c r="D239" s="179">
        <v>166630.45000000001</v>
      </c>
    </row>
    <row r="240" spans="1:4" ht="13.5">
      <c r="A240" s="176" t="s">
        <v>66</v>
      </c>
      <c r="B240" s="177">
        <v>8</v>
      </c>
      <c r="C240" s="184" t="s">
        <v>805</v>
      </c>
      <c r="D240" s="179">
        <v>526561.52</v>
      </c>
    </row>
    <row r="241" spans="1:4" ht="13.5">
      <c r="A241" s="176" t="s">
        <v>67</v>
      </c>
      <c r="B241" s="177">
        <v>4</v>
      </c>
      <c r="C241" s="184" t="s">
        <v>1187</v>
      </c>
      <c r="D241" s="179">
        <v>93880.49</v>
      </c>
    </row>
    <row r="242" spans="1:4" ht="13.5">
      <c r="A242" s="176" t="s">
        <v>68</v>
      </c>
      <c r="B242" s="177">
        <v>0</v>
      </c>
      <c r="C242" s="184" t="s">
        <v>806</v>
      </c>
      <c r="D242" s="179">
        <v>39822.300000000003</v>
      </c>
    </row>
    <row r="243" spans="1:4" ht="13.5">
      <c r="A243" s="176" t="s">
        <v>438</v>
      </c>
      <c r="B243" s="177">
        <v>0</v>
      </c>
      <c r="C243" s="184" t="s">
        <v>807</v>
      </c>
      <c r="D243" s="179">
        <v>146535.9</v>
      </c>
    </row>
    <row r="244" spans="1:4" ht="13.5">
      <c r="A244" s="176" t="s">
        <v>440</v>
      </c>
      <c r="B244" s="177">
        <v>9</v>
      </c>
      <c r="C244" s="184" t="s">
        <v>808</v>
      </c>
      <c r="D244" s="179">
        <v>15630.47</v>
      </c>
    </row>
    <row r="245" spans="1:4" ht="13.5">
      <c r="A245" s="176" t="s">
        <v>442</v>
      </c>
      <c r="B245" s="177">
        <v>7</v>
      </c>
      <c r="C245" s="184" t="s">
        <v>1188</v>
      </c>
      <c r="D245" s="179">
        <v>36786.6</v>
      </c>
    </row>
    <row r="246" spans="1:4" ht="13.5">
      <c r="A246" s="176" t="s">
        <v>444</v>
      </c>
      <c r="B246" s="177">
        <v>5</v>
      </c>
      <c r="C246" s="184" t="s">
        <v>810</v>
      </c>
      <c r="D246" s="179">
        <v>5778.26</v>
      </c>
    </row>
    <row r="247" spans="1:4" ht="13.5">
      <c r="A247" s="176" t="s">
        <v>69</v>
      </c>
      <c r="B247" s="177">
        <v>3</v>
      </c>
      <c r="C247" s="184" t="s">
        <v>811</v>
      </c>
      <c r="D247" s="179">
        <v>56045.09</v>
      </c>
    </row>
    <row r="248" spans="1:4" ht="13.5">
      <c r="A248" s="176" t="s">
        <v>70</v>
      </c>
      <c r="B248" s="177">
        <v>1</v>
      </c>
      <c r="C248" s="184" t="s">
        <v>948</v>
      </c>
      <c r="D248" s="179">
        <v>15177.04</v>
      </c>
    </row>
    <row r="249" spans="1:4" ht="13.5">
      <c r="A249" s="176" t="s">
        <v>71</v>
      </c>
      <c r="B249" s="177">
        <v>0</v>
      </c>
      <c r="C249" s="184" t="s">
        <v>812</v>
      </c>
      <c r="D249" s="179">
        <v>23143.39</v>
      </c>
    </row>
    <row r="250" spans="1:4" ht="13.5">
      <c r="A250" s="176" t="s">
        <v>1189</v>
      </c>
      <c r="B250" s="177">
        <v>8</v>
      </c>
      <c r="C250" s="184" t="s">
        <v>1190</v>
      </c>
      <c r="D250" s="179">
        <v>4418.24</v>
      </c>
    </row>
    <row r="251" spans="1:4" ht="13.5">
      <c r="A251" s="176" t="s">
        <v>72</v>
      </c>
      <c r="B251" s="177">
        <v>8</v>
      </c>
      <c r="C251" s="182" t="s">
        <v>73</v>
      </c>
      <c r="D251" s="179">
        <v>104906.55</v>
      </c>
    </row>
    <row r="252" spans="1:4" ht="13.5">
      <c r="A252" s="176" t="s">
        <v>74</v>
      </c>
      <c r="B252" s="177">
        <v>0</v>
      </c>
      <c r="C252" s="183" t="s">
        <v>813</v>
      </c>
      <c r="D252" s="179">
        <v>104906.55</v>
      </c>
    </row>
    <row r="253" spans="1:4" ht="13.5">
      <c r="A253" s="176" t="s">
        <v>76</v>
      </c>
      <c r="B253" s="177">
        <v>8</v>
      </c>
      <c r="C253" s="184" t="s">
        <v>814</v>
      </c>
      <c r="D253" s="179">
        <v>104906.55</v>
      </c>
    </row>
    <row r="254" spans="1:4" ht="13.5">
      <c r="A254" s="176" t="s">
        <v>77</v>
      </c>
      <c r="B254" s="177">
        <v>5</v>
      </c>
      <c r="C254" s="182" t="s">
        <v>78</v>
      </c>
      <c r="D254" s="179">
        <v>801106.43</v>
      </c>
    </row>
    <row r="255" spans="1:4" ht="13.5">
      <c r="A255" s="176" t="s">
        <v>79</v>
      </c>
      <c r="B255" s="177">
        <v>3</v>
      </c>
      <c r="C255" s="183" t="s">
        <v>1041</v>
      </c>
      <c r="D255" s="179">
        <v>801106.43</v>
      </c>
    </row>
    <row r="256" spans="1:4" ht="13.5">
      <c r="A256" s="176" t="s">
        <v>80</v>
      </c>
      <c r="B256" s="177">
        <v>1</v>
      </c>
      <c r="C256" s="184" t="s">
        <v>897</v>
      </c>
      <c r="D256" s="179">
        <v>33140.53</v>
      </c>
    </row>
    <row r="257" spans="1:4" ht="13.5">
      <c r="A257" s="176" t="s">
        <v>81</v>
      </c>
      <c r="B257" s="177">
        <v>8</v>
      </c>
      <c r="C257" s="184" t="s">
        <v>815</v>
      </c>
      <c r="D257" s="179">
        <v>358621.59</v>
      </c>
    </row>
    <row r="258" spans="1:4" ht="13.5">
      <c r="A258" s="176" t="s">
        <v>453</v>
      </c>
      <c r="B258" s="177">
        <v>6</v>
      </c>
      <c r="C258" s="184" t="s">
        <v>1191</v>
      </c>
      <c r="D258" s="179">
        <v>1740</v>
      </c>
    </row>
    <row r="259" spans="1:4" ht="13.5">
      <c r="A259" s="176" t="s">
        <v>1192</v>
      </c>
      <c r="B259" s="177">
        <v>2</v>
      </c>
      <c r="C259" s="184" t="s">
        <v>1193</v>
      </c>
      <c r="D259" s="179">
        <v>24976.28</v>
      </c>
    </row>
    <row r="260" spans="1:4" ht="13.5">
      <c r="A260" s="176" t="s">
        <v>1042</v>
      </c>
      <c r="B260" s="177">
        <v>0</v>
      </c>
      <c r="C260" s="184" t="s">
        <v>1043</v>
      </c>
      <c r="D260" s="179">
        <v>1812.6</v>
      </c>
    </row>
    <row r="261" spans="1:4" ht="13.5">
      <c r="A261" s="176" t="s">
        <v>898</v>
      </c>
      <c r="B261" s="177">
        <v>9</v>
      </c>
      <c r="C261" s="184" t="s">
        <v>1044</v>
      </c>
      <c r="D261" s="179">
        <v>380815.43</v>
      </c>
    </row>
    <row r="262" spans="1:4" ht="13.5">
      <c r="A262" s="176" t="s">
        <v>82</v>
      </c>
      <c r="B262" s="177">
        <v>7</v>
      </c>
      <c r="C262" s="182" t="s">
        <v>83</v>
      </c>
      <c r="D262" s="179">
        <v>2129608.84</v>
      </c>
    </row>
    <row r="263" spans="1:4" ht="13.5">
      <c r="A263" s="176" t="s">
        <v>84</v>
      </c>
      <c r="B263" s="177">
        <v>5</v>
      </c>
      <c r="C263" s="183" t="s">
        <v>816</v>
      </c>
      <c r="D263" s="179">
        <v>394660.28</v>
      </c>
    </row>
    <row r="264" spans="1:4" ht="13.5">
      <c r="A264" s="176" t="s">
        <v>85</v>
      </c>
      <c r="B264" s="177">
        <v>3</v>
      </c>
      <c r="C264" s="184" t="s">
        <v>817</v>
      </c>
      <c r="D264" s="179">
        <v>354278.67</v>
      </c>
    </row>
    <row r="265" spans="1:4" ht="13.5">
      <c r="A265" s="176" t="s">
        <v>86</v>
      </c>
      <c r="B265" s="177">
        <v>1</v>
      </c>
      <c r="C265" s="184" t="s">
        <v>818</v>
      </c>
      <c r="D265" s="179">
        <v>40381.61</v>
      </c>
    </row>
    <row r="266" spans="1:4" ht="13.5">
      <c r="A266" s="176" t="s">
        <v>87</v>
      </c>
      <c r="B266" s="177">
        <v>7</v>
      </c>
      <c r="C266" s="183" t="s">
        <v>819</v>
      </c>
      <c r="D266" s="179">
        <v>1217746.94</v>
      </c>
    </row>
    <row r="267" spans="1:4" ht="13.5">
      <c r="A267" s="176" t="s">
        <v>88</v>
      </c>
      <c r="B267" s="177">
        <v>5</v>
      </c>
      <c r="C267" s="184" t="s">
        <v>820</v>
      </c>
      <c r="D267" s="179">
        <v>1217746.94</v>
      </c>
    </row>
    <row r="268" spans="1:4" ht="13.5">
      <c r="A268" s="176" t="s">
        <v>89</v>
      </c>
      <c r="B268" s="177">
        <v>2</v>
      </c>
      <c r="C268" s="183" t="s">
        <v>821</v>
      </c>
      <c r="D268" s="179">
        <v>408025.95</v>
      </c>
    </row>
    <row r="269" spans="1:4" ht="13.5">
      <c r="A269" s="176" t="s">
        <v>637</v>
      </c>
      <c r="B269" s="177">
        <v>0</v>
      </c>
      <c r="C269" s="184" t="s">
        <v>822</v>
      </c>
      <c r="D269" s="179">
        <v>374443.31</v>
      </c>
    </row>
    <row r="270" spans="1:4" ht="13.5">
      <c r="A270" s="176" t="s">
        <v>90</v>
      </c>
      <c r="B270" s="177">
        <v>9</v>
      </c>
      <c r="C270" s="184" t="s">
        <v>823</v>
      </c>
      <c r="D270" s="179">
        <v>33582.639999999999</v>
      </c>
    </row>
    <row r="271" spans="1:4" ht="13.5">
      <c r="A271" s="176" t="s">
        <v>91</v>
      </c>
      <c r="B271" s="177">
        <v>0</v>
      </c>
      <c r="C271" s="183" t="s">
        <v>824</v>
      </c>
      <c r="D271" s="179">
        <v>109175.67</v>
      </c>
    </row>
    <row r="272" spans="1:4" ht="13.5">
      <c r="A272" s="176" t="s">
        <v>92</v>
      </c>
      <c r="B272" s="177">
        <v>9</v>
      </c>
      <c r="C272" s="184" t="s">
        <v>825</v>
      </c>
      <c r="D272" s="179">
        <v>109175.67</v>
      </c>
    </row>
    <row r="273" spans="1:4" ht="13.5">
      <c r="A273" s="176" t="s">
        <v>93</v>
      </c>
      <c r="B273" s="177">
        <v>0</v>
      </c>
      <c r="C273" s="182" t="s">
        <v>94</v>
      </c>
      <c r="D273" s="179">
        <v>5046899.2</v>
      </c>
    </row>
    <row r="274" spans="1:4" ht="13.5">
      <c r="A274" s="176" t="s">
        <v>95</v>
      </c>
      <c r="B274" s="177">
        <v>2</v>
      </c>
      <c r="C274" s="183" t="s">
        <v>94</v>
      </c>
      <c r="D274" s="179">
        <v>5046899.2</v>
      </c>
    </row>
    <row r="275" spans="1:4" ht="13.5">
      <c r="A275" s="176" t="s">
        <v>96</v>
      </c>
      <c r="B275" s="177">
        <v>0</v>
      </c>
      <c r="C275" s="184" t="s">
        <v>826</v>
      </c>
      <c r="D275" s="179">
        <v>1204340.7</v>
      </c>
    </row>
    <row r="276" spans="1:4" ht="13.5">
      <c r="A276" s="176" t="s">
        <v>97</v>
      </c>
      <c r="B276" s="177">
        <v>9</v>
      </c>
      <c r="C276" s="184" t="s">
        <v>827</v>
      </c>
      <c r="D276" s="179">
        <v>1876588.06</v>
      </c>
    </row>
    <row r="277" spans="1:4" ht="13.5">
      <c r="A277" s="176" t="s">
        <v>98</v>
      </c>
      <c r="B277" s="177">
        <v>7</v>
      </c>
      <c r="C277" s="184" t="s">
        <v>900</v>
      </c>
      <c r="D277" s="179">
        <v>45508.79</v>
      </c>
    </row>
    <row r="278" spans="1:4" ht="13.5">
      <c r="A278" s="176" t="s">
        <v>99</v>
      </c>
      <c r="B278" s="177">
        <v>5</v>
      </c>
      <c r="C278" s="184" t="s">
        <v>901</v>
      </c>
      <c r="D278" s="179">
        <v>38736.33</v>
      </c>
    </row>
    <row r="279" spans="1:4" ht="13.5">
      <c r="A279" s="176" t="s">
        <v>100</v>
      </c>
      <c r="B279" s="177">
        <v>1</v>
      </c>
      <c r="C279" s="184" t="s">
        <v>828</v>
      </c>
      <c r="D279" s="179">
        <v>1169744.3400000001</v>
      </c>
    </row>
    <row r="280" spans="1:4" ht="13.5">
      <c r="A280" s="176" t="s">
        <v>101</v>
      </c>
      <c r="B280" s="177">
        <v>8</v>
      </c>
      <c r="C280" s="184" t="s">
        <v>829</v>
      </c>
      <c r="D280" s="179">
        <v>63096.26</v>
      </c>
    </row>
    <row r="281" spans="1:4" ht="13.5">
      <c r="A281" s="176" t="s">
        <v>102</v>
      </c>
      <c r="B281" s="177">
        <v>4</v>
      </c>
      <c r="C281" s="184" t="s">
        <v>830</v>
      </c>
      <c r="D281" s="179">
        <v>378577.49</v>
      </c>
    </row>
    <row r="282" spans="1:4" ht="13.5">
      <c r="A282" s="176" t="s">
        <v>103</v>
      </c>
      <c r="B282" s="177">
        <v>2</v>
      </c>
      <c r="C282" s="184" t="s">
        <v>831</v>
      </c>
      <c r="D282" s="179">
        <v>158052.79999999999</v>
      </c>
    </row>
    <row r="283" spans="1:4" ht="13.5">
      <c r="A283" s="176" t="s">
        <v>104</v>
      </c>
      <c r="B283" s="177">
        <v>0</v>
      </c>
      <c r="C283" s="184" t="s">
        <v>902</v>
      </c>
      <c r="D283" s="179">
        <v>37851.33</v>
      </c>
    </row>
    <row r="284" spans="1:4" ht="13.5">
      <c r="A284" s="176" t="s">
        <v>105</v>
      </c>
      <c r="B284" s="177">
        <v>9</v>
      </c>
      <c r="C284" s="184" t="s">
        <v>903</v>
      </c>
      <c r="D284" s="179">
        <v>3.41</v>
      </c>
    </row>
    <row r="285" spans="1:4" ht="13.5">
      <c r="A285" s="176" t="s">
        <v>475</v>
      </c>
      <c r="B285" s="177">
        <v>1</v>
      </c>
      <c r="C285" s="184" t="s">
        <v>1045</v>
      </c>
      <c r="D285" s="179">
        <v>74399.69</v>
      </c>
    </row>
    <row r="286" spans="1:4" ht="13.5">
      <c r="A286" s="176" t="s">
        <v>604</v>
      </c>
      <c r="B286" s="177">
        <v>4</v>
      </c>
      <c r="C286" s="182" t="s">
        <v>949</v>
      </c>
      <c r="D286" s="179">
        <v>10437</v>
      </c>
    </row>
    <row r="287" spans="1:4" ht="13.5">
      <c r="A287" s="176" t="s">
        <v>950</v>
      </c>
      <c r="B287" s="177">
        <v>0</v>
      </c>
      <c r="C287" s="183" t="s">
        <v>1046</v>
      </c>
      <c r="D287" s="179">
        <v>10437</v>
      </c>
    </row>
    <row r="288" spans="1:4" ht="13.5">
      <c r="A288" s="176" t="s">
        <v>952</v>
      </c>
      <c r="B288" s="177">
        <v>0</v>
      </c>
      <c r="C288" s="184" t="s">
        <v>1047</v>
      </c>
      <c r="D288" s="179">
        <v>10437</v>
      </c>
    </row>
    <row r="289" spans="1:4" ht="13.5">
      <c r="A289" s="176" t="s">
        <v>754</v>
      </c>
      <c r="B289" s="177">
        <v>6</v>
      </c>
      <c r="C289" s="182" t="s">
        <v>832</v>
      </c>
      <c r="D289" s="179">
        <v>89428.82</v>
      </c>
    </row>
    <row r="290" spans="1:4" ht="13.5">
      <c r="A290" s="176" t="s">
        <v>755</v>
      </c>
      <c r="B290" s="177">
        <v>1</v>
      </c>
      <c r="C290" s="183" t="s">
        <v>832</v>
      </c>
      <c r="D290" s="179">
        <v>89428.82</v>
      </c>
    </row>
    <row r="291" spans="1:4" ht="13.5">
      <c r="A291" s="176" t="s">
        <v>756</v>
      </c>
      <c r="B291" s="177">
        <v>0</v>
      </c>
      <c r="C291" s="184" t="s">
        <v>789</v>
      </c>
      <c r="D291" s="179">
        <v>89428.82</v>
      </c>
    </row>
    <row r="292" spans="1:4" ht="13.5">
      <c r="A292" s="176" t="s">
        <v>106</v>
      </c>
      <c r="B292" s="177">
        <v>8</v>
      </c>
      <c r="C292" s="182" t="s">
        <v>107</v>
      </c>
      <c r="D292" s="179">
        <v>35912.519999999997</v>
      </c>
    </row>
    <row r="293" spans="1:4" ht="13.5">
      <c r="A293" s="176" t="s">
        <v>108</v>
      </c>
      <c r="B293" s="177">
        <v>0</v>
      </c>
      <c r="C293" s="183" t="s">
        <v>833</v>
      </c>
      <c r="D293" s="179">
        <v>35912.519999999997</v>
      </c>
    </row>
    <row r="294" spans="1:4" ht="13.5">
      <c r="A294" s="176" t="s">
        <v>109</v>
      </c>
      <c r="B294" s="177">
        <v>8</v>
      </c>
      <c r="C294" s="184" t="s">
        <v>834</v>
      </c>
      <c r="D294" s="179">
        <v>35912.519999999997</v>
      </c>
    </row>
    <row r="295" spans="1:4" ht="13.5">
      <c r="A295" s="176" t="s">
        <v>110</v>
      </c>
      <c r="B295" s="177">
        <v>1</v>
      </c>
      <c r="C295" s="182" t="s">
        <v>111</v>
      </c>
      <c r="D295" s="179">
        <v>2511011.23</v>
      </c>
    </row>
    <row r="296" spans="1:4" ht="13.5">
      <c r="A296" s="176" t="s">
        <v>112</v>
      </c>
      <c r="B296" s="177">
        <v>2</v>
      </c>
      <c r="C296" s="183" t="s">
        <v>1053</v>
      </c>
      <c r="D296" s="179">
        <v>2511011.23</v>
      </c>
    </row>
    <row r="297" spans="1:4" ht="13.5">
      <c r="A297" s="176" t="s">
        <v>113</v>
      </c>
      <c r="B297" s="177">
        <v>0</v>
      </c>
      <c r="C297" s="184" t="s">
        <v>1054</v>
      </c>
      <c r="D297" s="179">
        <v>2511011.23</v>
      </c>
    </row>
    <row r="298" spans="1:4" ht="13.5">
      <c r="A298" s="176" t="s">
        <v>114</v>
      </c>
      <c r="B298" s="177">
        <v>9</v>
      </c>
      <c r="C298" s="182" t="s">
        <v>115</v>
      </c>
      <c r="D298" s="179">
        <v>334.63</v>
      </c>
    </row>
    <row r="299" spans="1:4" ht="13.5">
      <c r="A299" s="176" t="s">
        <v>116</v>
      </c>
      <c r="B299" s="177">
        <v>0</v>
      </c>
      <c r="C299" s="183" t="s">
        <v>115</v>
      </c>
      <c r="D299" s="179">
        <v>334.63</v>
      </c>
    </row>
    <row r="300" spans="1:4" ht="13.5">
      <c r="A300" s="176" t="s">
        <v>117</v>
      </c>
      <c r="B300" s="177">
        <v>6</v>
      </c>
      <c r="C300" s="184" t="s">
        <v>678</v>
      </c>
      <c r="D300" s="179">
        <v>334.63</v>
      </c>
    </row>
    <row r="301" spans="1:4" ht="13.5">
      <c r="A301" s="176" t="s">
        <v>118</v>
      </c>
      <c r="B301" s="177">
        <v>4</v>
      </c>
      <c r="C301" s="182" t="s">
        <v>119</v>
      </c>
      <c r="D301" s="179">
        <v>204889.96</v>
      </c>
    </row>
    <row r="302" spans="1:4" ht="13.5">
      <c r="A302" s="176" t="s">
        <v>120</v>
      </c>
      <c r="B302" s="177">
        <v>5</v>
      </c>
      <c r="C302" s="183" t="s">
        <v>1055</v>
      </c>
      <c r="D302" s="179">
        <v>204889.96</v>
      </c>
    </row>
    <row r="303" spans="1:4" ht="13.5">
      <c r="A303" s="176" t="s">
        <v>121</v>
      </c>
      <c r="B303" s="177">
        <v>3</v>
      </c>
      <c r="C303" s="184" t="s">
        <v>1194</v>
      </c>
      <c r="D303" s="179">
        <v>204889.96</v>
      </c>
    </row>
    <row r="304" spans="1:4" ht="13.5">
      <c r="A304" s="176" t="s">
        <v>122</v>
      </c>
      <c r="B304" s="177">
        <v>0</v>
      </c>
      <c r="C304" s="182" t="s">
        <v>123</v>
      </c>
      <c r="D304" s="179">
        <v>211871.09</v>
      </c>
    </row>
    <row r="305" spans="1:4" ht="13.5">
      <c r="A305" s="176" t="s">
        <v>124</v>
      </c>
      <c r="B305" s="177">
        <v>7</v>
      </c>
      <c r="C305" s="183" t="s">
        <v>835</v>
      </c>
      <c r="D305" s="179">
        <v>211871.09</v>
      </c>
    </row>
    <row r="306" spans="1:4" ht="13.5">
      <c r="A306" s="176" t="s">
        <v>125</v>
      </c>
      <c r="B306" s="177">
        <v>6</v>
      </c>
      <c r="C306" s="184" t="s">
        <v>1056</v>
      </c>
      <c r="D306" s="179">
        <v>211871.09</v>
      </c>
    </row>
    <row r="307" spans="1:4" ht="13.5">
      <c r="A307" s="176" t="s">
        <v>126</v>
      </c>
      <c r="B307" s="177">
        <v>4</v>
      </c>
      <c r="C307" s="181" t="s">
        <v>127</v>
      </c>
      <c r="D307" s="179">
        <v>37906576.969999999</v>
      </c>
    </row>
    <row r="308" spans="1:4" ht="13.5">
      <c r="A308" s="176" t="s">
        <v>1057</v>
      </c>
      <c r="B308" s="177">
        <v>5</v>
      </c>
      <c r="C308" s="182" t="s">
        <v>1058</v>
      </c>
      <c r="D308" s="179">
        <v>37906576.969999999</v>
      </c>
    </row>
    <row r="309" spans="1:4" ht="13.5">
      <c r="A309" s="176" t="s">
        <v>1059</v>
      </c>
      <c r="B309" s="177">
        <v>6</v>
      </c>
      <c r="C309" s="183" t="s">
        <v>1060</v>
      </c>
      <c r="D309" s="179">
        <v>37906576.969999999</v>
      </c>
    </row>
    <row r="310" spans="1:4" ht="13.5">
      <c r="A310" s="176" t="s">
        <v>1061</v>
      </c>
      <c r="B310" s="177">
        <v>3</v>
      </c>
      <c r="C310" s="184" t="s">
        <v>1195</v>
      </c>
      <c r="D310" s="179">
        <v>37906576.969999999</v>
      </c>
    </row>
    <row r="311" spans="1:4" ht="13.5">
      <c r="A311" s="176" t="s">
        <v>337</v>
      </c>
      <c r="B311" s="177">
        <v>2</v>
      </c>
      <c r="C311" s="181" t="s">
        <v>132</v>
      </c>
      <c r="D311" s="179">
        <v>6859732.1299999999</v>
      </c>
    </row>
    <row r="312" spans="1:4" ht="13.5">
      <c r="A312" s="176" t="s">
        <v>133</v>
      </c>
      <c r="B312" s="177">
        <v>3</v>
      </c>
      <c r="C312" s="182" t="s">
        <v>134</v>
      </c>
      <c r="D312" s="179">
        <v>4350874.49</v>
      </c>
    </row>
    <row r="313" spans="1:4" ht="13.5">
      <c r="A313" s="176" t="s">
        <v>135</v>
      </c>
      <c r="B313" s="177">
        <v>5</v>
      </c>
      <c r="C313" s="183" t="s">
        <v>134</v>
      </c>
      <c r="D313" s="179">
        <v>4350874.49</v>
      </c>
    </row>
    <row r="314" spans="1:4" ht="13.5">
      <c r="A314" s="176" t="s">
        <v>136</v>
      </c>
      <c r="B314" s="177">
        <v>3</v>
      </c>
      <c r="C314" s="184" t="s">
        <v>134</v>
      </c>
      <c r="D314" s="179">
        <v>4350874.49</v>
      </c>
    </row>
    <row r="315" spans="1:4" ht="13.5">
      <c r="A315" s="176" t="s">
        <v>137</v>
      </c>
      <c r="B315" s="177">
        <v>7</v>
      </c>
      <c r="C315" s="182" t="s">
        <v>138</v>
      </c>
      <c r="D315" s="179">
        <v>751202.59</v>
      </c>
    </row>
    <row r="316" spans="1:4" ht="13.5">
      <c r="A316" s="176" t="s">
        <v>139</v>
      </c>
      <c r="B316" s="177">
        <v>9</v>
      </c>
      <c r="C316" s="183" t="s">
        <v>138</v>
      </c>
      <c r="D316" s="179">
        <v>751202.59</v>
      </c>
    </row>
    <row r="317" spans="1:4" ht="13.5">
      <c r="A317" s="176" t="s">
        <v>140</v>
      </c>
      <c r="B317" s="177">
        <v>7</v>
      </c>
      <c r="C317" s="184" t="s">
        <v>836</v>
      </c>
      <c r="D317" s="179">
        <v>751202.59</v>
      </c>
    </row>
    <row r="318" spans="1:4" ht="13.5">
      <c r="A318" s="176" t="s">
        <v>141</v>
      </c>
      <c r="B318" s="177">
        <v>6</v>
      </c>
      <c r="C318" s="182" t="s">
        <v>132</v>
      </c>
      <c r="D318" s="179">
        <v>1757655.05</v>
      </c>
    </row>
    <row r="319" spans="1:4" ht="13.5">
      <c r="A319" s="176" t="s">
        <v>142</v>
      </c>
      <c r="B319" s="177">
        <v>3</v>
      </c>
      <c r="C319" s="183" t="s">
        <v>132</v>
      </c>
      <c r="D319" s="179">
        <v>1757655.05</v>
      </c>
    </row>
    <row r="320" spans="1:4" ht="13.5">
      <c r="A320" s="176" t="s">
        <v>144</v>
      </c>
      <c r="B320" s="177">
        <v>1</v>
      </c>
      <c r="C320" s="184" t="s">
        <v>837</v>
      </c>
      <c r="D320" s="179">
        <v>880.64</v>
      </c>
    </row>
    <row r="321" spans="1:4" ht="13.5">
      <c r="A321" s="176" t="s">
        <v>145</v>
      </c>
      <c r="B321" s="177">
        <v>6</v>
      </c>
      <c r="C321" s="184" t="s">
        <v>1065</v>
      </c>
      <c r="D321" s="179">
        <v>16094.84</v>
      </c>
    </row>
    <row r="322" spans="1:4" ht="13.5">
      <c r="A322" s="176" t="s">
        <v>146</v>
      </c>
      <c r="B322" s="177">
        <v>4</v>
      </c>
      <c r="C322" s="184" t="s">
        <v>838</v>
      </c>
      <c r="D322" s="179">
        <v>1740679.57</v>
      </c>
    </row>
    <row r="323" spans="1:4" ht="13.5">
      <c r="A323" s="176" t="s">
        <v>147</v>
      </c>
      <c r="B323" s="177">
        <v>7</v>
      </c>
      <c r="C323" s="180" t="s">
        <v>148</v>
      </c>
      <c r="D323" s="179">
        <v>26281748.420000002</v>
      </c>
    </row>
    <row r="324" spans="1:4" ht="13.5">
      <c r="A324" s="176" t="s">
        <v>149</v>
      </c>
      <c r="B324" s="177">
        <v>0</v>
      </c>
      <c r="C324" s="181" t="s">
        <v>150</v>
      </c>
      <c r="D324" s="179">
        <v>26281748.420000002</v>
      </c>
    </row>
    <row r="325" spans="1:4" ht="13.5">
      <c r="A325" s="176" t="s">
        <v>151</v>
      </c>
      <c r="B325" s="177">
        <v>3</v>
      </c>
      <c r="C325" s="182" t="s">
        <v>150</v>
      </c>
      <c r="D325" s="179">
        <v>19318462.07</v>
      </c>
    </row>
    <row r="326" spans="1:4" ht="13.5">
      <c r="A326" s="176" t="s">
        <v>341</v>
      </c>
      <c r="B326" s="177">
        <v>5</v>
      </c>
      <c r="C326" s="183" t="s">
        <v>150</v>
      </c>
      <c r="D326" s="179">
        <v>19317741.02</v>
      </c>
    </row>
    <row r="327" spans="1:4" ht="13.5">
      <c r="A327" s="176" t="s">
        <v>152</v>
      </c>
      <c r="B327" s="177">
        <v>3</v>
      </c>
      <c r="C327" s="184" t="s">
        <v>150</v>
      </c>
      <c r="D327" s="179">
        <v>19317741.02</v>
      </c>
    </row>
    <row r="328" spans="1:4" ht="13.5">
      <c r="A328" s="176" t="s">
        <v>153</v>
      </c>
      <c r="B328" s="177">
        <v>6</v>
      </c>
      <c r="C328" s="183" t="s">
        <v>839</v>
      </c>
      <c r="D328" s="179">
        <v>721.05</v>
      </c>
    </row>
    <row r="329" spans="1:4" ht="13.5">
      <c r="A329" s="176" t="s">
        <v>343</v>
      </c>
      <c r="B329" s="177">
        <v>4</v>
      </c>
      <c r="C329" s="184" t="s">
        <v>840</v>
      </c>
      <c r="D329" s="179">
        <v>721.05</v>
      </c>
    </row>
    <row r="330" spans="1:4" ht="13.5">
      <c r="A330" s="176" t="s">
        <v>154</v>
      </c>
      <c r="B330" s="177">
        <v>7</v>
      </c>
      <c r="C330" s="182" t="s">
        <v>155</v>
      </c>
      <c r="D330" s="179">
        <v>6963286.3499999996</v>
      </c>
    </row>
    <row r="331" spans="1:4" ht="13.5">
      <c r="A331" s="176" t="s">
        <v>342</v>
      </c>
      <c r="B331" s="177">
        <v>9</v>
      </c>
      <c r="C331" s="183" t="s">
        <v>155</v>
      </c>
      <c r="D331" s="179">
        <v>6963026.7699999996</v>
      </c>
    </row>
    <row r="332" spans="1:4" ht="13.5">
      <c r="A332" s="176" t="s">
        <v>156</v>
      </c>
      <c r="B332" s="177">
        <v>7</v>
      </c>
      <c r="C332" s="184" t="s">
        <v>155</v>
      </c>
      <c r="D332" s="179">
        <v>6963026.7699999996</v>
      </c>
    </row>
    <row r="333" spans="1:4" ht="13.5">
      <c r="A333" s="176" t="s">
        <v>157</v>
      </c>
      <c r="B333" s="177">
        <v>0</v>
      </c>
      <c r="C333" s="183" t="s">
        <v>841</v>
      </c>
      <c r="D333" s="179">
        <v>259.58</v>
      </c>
    </row>
    <row r="334" spans="1:4" ht="13.5">
      <c r="A334" s="176" t="s">
        <v>344</v>
      </c>
      <c r="B334" s="177">
        <v>8</v>
      </c>
      <c r="C334" s="184" t="s">
        <v>842</v>
      </c>
      <c r="D334" s="179">
        <v>259.58</v>
      </c>
    </row>
    <row r="335" spans="1:4" ht="13.5">
      <c r="A335" s="176" t="s">
        <v>1196</v>
      </c>
      <c r="B335" s="177">
        <v>8</v>
      </c>
      <c r="C335" s="178" t="s">
        <v>625</v>
      </c>
      <c r="D335" s="179">
        <v>122146286.18000001</v>
      </c>
    </row>
    <row r="336" spans="1:4" ht="13.5">
      <c r="A336" s="176" t="s">
        <v>639</v>
      </c>
      <c r="B336" s="177">
        <v>8</v>
      </c>
      <c r="C336" s="180" t="s">
        <v>625</v>
      </c>
      <c r="D336" s="179">
        <v>122146286.18000001</v>
      </c>
    </row>
    <row r="337" spans="1:4" ht="13.5">
      <c r="A337" s="176" t="s">
        <v>640</v>
      </c>
      <c r="B337" s="177">
        <v>1</v>
      </c>
      <c r="C337" s="181" t="s">
        <v>628</v>
      </c>
      <c r="D337" s="179">
        <v>122146286.18000001</v>
      </c>
    </row>
    <row r="338" spans="1:4" ht="13.5">
      <c r="A338" s="176" t="s">
        <v>641</v>
      </c>
      <c r="B338" s="177">
        <v>5</v>
      </c>
      <c r="C338" s="182" t="s">
        <v>642</v>
      </c>
      <c r="D338" s="179">
        <v>122146286.18000001</v>
      </c>
    </row>
    <row r="339" spans="1:4" ht="13.5">
      <c r="A339" s="176" t="s">
        <v>643</v>
      </c>
      <c r="B339" s="177">
        <v>1</v>
      </c>
      <c r="C339" s="183" t="s">
        <v>644</v>
      </c>
      <c r="D339" s="179">
        <v>122146286.18000001</v>
      </c>
    </row>
    <row r="340" spans="1:4" ht="13.5">
      <c r="A340" s="176" t="s">
        <v>645</v>
      </c>
      <c r="B340" s="177">
        <v>6</v>
      </c>
      <c r="C340" s="184" t="s">
        <v>646</v>
      </c>
      <c r="D340" s="179">
        <v>42865000</v>
      </c>
    </row>
    <row r="341" spans="1:4" ht="13.5">
      <c r="A341" s="176" t="s">
        <v>647</v>
      </c>
      <c r="B341" s="177">
        <v>4</v>
      </c>
      <c r="C341" s="184" t="s">
        <v>648</v>
      </c>
      <c r="D341" s="179">
        <v>79281286.180000007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>
      <c r="A1" s="460" t="s">
        <v>592</v>
      </c>
      <c r="B1" s="460"/>
      <c r="C1" s="31" t="s">
        <v>593</v>
      </c>
      <c r="D1" s="33" t="s">
        <v>1113</v>
      </c>
      <c r="E1" s="32" t="s">
        <v>594</v>
      </c>
      <c r="F1" s="32" t="s">
        <v>598</v>
      </c>
      <c r="G1" s="32" t="s">
        <v>611</v>
      </c>
      <c r="H1" s="33" t="s">
        <v>1114</v>
      </c>
    </row>
    <row r="2" spans="1:13">
      <c r="A2" s="84">
        <v>1</v>
      </c>
      <c r="B2" s="78">
        <v>-7</v>
      </c>
      <c r="C2" s="78" t="s">
        <v>345</v>
      </c>
      <c r="D2" s="80">
        <f>IFERROR(VLOOKUP($A2,'Balancete 2015'!$A:$D,4,0), "0")</f>
        <v>1500896499.3099999</v>
      </c>
      <c r="E2" s="81"/>
      <c r="F2" s="81"/>
      <c r="G2" s="81"/>
      <c r="H2" s="80">
        <f>IFERROR(VLOOKUP($A2,'Balancete 2016'!$A:$D,4,0), "0")</f>
        <v>1632038031.6600001</v>
      </c>
      <c r="J2" s="57"/>
      <c r="K2" s="58"/>
      <c r="L2" s="58"/>
      <c r="M2" s="59"/>
    </row>
    <row r="3" spans="1:13">
      <c r="A3" s="84" t="s">
        <v>315</v>
      </c>
      <c r="B3" s="78">
        <v>-4</v>
      </c>
      <c r="C3" s="78" t="s">
        <v>346</v>
      </c>
      <c r="D3" s="80">
        <f>IFERROR(VLOOKUP($A3,'Balancete 2015'!$A:$D,4,0), "0")</f>
        <v>578.22</v>
      </c>
      <c r="E3" s="81"/>
      <c r="F3" s="81"/>
      <c r="G3" s="81" t="s">
        <v>595</v>
      </c>
      <c r="H3" s="80">
        <f>IFERROR(VLOOKUP($A3,'Balancete 2016'!$A:$D,4,0), "0")</f>
        <v>687.88</v>
      </c>
      <c r="J3" s="57"/>
      <c r="K3" s="58"/>
      <c r="L3" s="58"/>
      <c r="M3" s="59"/>
    </row>
    <row r="4" spans="1:13">
      <c r="A4" s="84" t="s">
        <v>347</v>
      </c>
      <c r="B4" s="78">
        <v>-2</v>
      </c>
      <c r="C4" s="78" t="s">
        <v>348</v>
      </c>
      <c r="D4" s="80">
        <f>IFERROR(VLOOKUP($A4,'Balancete 2015'!$A:$D,4,0), "0")</f>
        <v>526.24</v>
      </c>
      <c r="E4" s="81">
        <v>100</v>
      </c>
      <c r="F4" s="81"/>
      <c r="G4" s="81"/>
      <c r="H4" s="80">
        <f>IFERROR(VLOOKUP($A4,'Balancete 2016'!$A:$D,4,0), "0")</f>
        <v>635.9</v>
      </c>
      <c r="J4" s="57"/>
      <c r="K4" s="58"/>
      <c r="L4" s="58"/>
      <c r="M4" s="59"/>
    </row>
    <row r="5" spans="1:13">
      <c r="A5" s="84" t="s">
        <v>349</v>
      </c>
      <c r="B5" s="78">
        <v>0</v>
      </c>
      <c r="C5" s="78" t="s">
        <v>350</v>
      </c>
      <c r="D5" s="80">
        <f>IFERROR(VLOOKUP($A5,'Balancete 2015'!$A:$D,4,0), "0")</f>
        <v>526.24</v>
      </c>
      <c r="E5" s="81"/>
      <c r="F5" s="81"/>
      <c r="G5" s="81"/>
      <c r="H5" s="80">
        <f>IFERROR(VLOOKUP($A5,'Balancete 2016'!$A:$D,4,0), "0")</f>
        <v>635.9</v>
      </c>
      <c r="J5" s="57"/>
      <c r="K5" s="58"/>
      <c r="L5" s="58"/>
      <c r="M5" s="59"/>
    </row>
    <row r="6" spans="1:13">
      <c r="A6" s="84" t="s">
        <v>351</v>
      </c>
      <c r="B6" s="78">
        <v>-5</v>
      </c>
      <c r="C6" s="78" t="s">
        <v>350</v>
      </c>
      <c r="D6" s="80">
        <f>IFERROR(VLOOKUP($A6,'Balancete 2015'!$A:$D,4,0), "0")</f>
        <v>526.24</v>
      </c>
      <c r="E6" s="81"/>
      <c r="F6" s="81"/>
      <c r="G6" s="81"/>
      <c r="H6" s="80">
        <f>IFERROR(VLOOKUP($A6,'Balancete 2016'!$A:$D,4,0), "0")</f>
        <v>635.9</v>
      </c>
      <c r="J6" s="57"/>
      <c r="K6" s="58"/>
      <c r="L6" s="58"/>
      <c r="M6" s="59"/>
    </row>
    <row r="7" spans="1:13">
      <c r="A7" s="84" t="s">
        <v>352</v>
      </c>
      <c r="B7" s="78">
        <v>-3</v>
      </c>
      <c r="C7" s="78" t="s">
        <v>369</v>
      </c>
      <c r="D7" s="80">
        <f>IFERROR(VLOOKUP($A7,'Balancete 2015'!$A:$D,4,0), "0")</f>
        <v>526.24</v>
      </c>
      <c r="E7" s="81"/>
      <c r="F7" s="81"/>
      <c r="G7" s="81"/>
      <c r="H7" s="80">
        <f>IFERROR(VLOOKUP($A7,'Balancete 2016'!$A:$D,4,0), "0")</f>
        <v>635.9</v>
      </c>
      <c r="J7" s="57"/>
      <c r="K7" s="58"/>
      <c r="L7" s="58"/>
      <c r="M7" s="59"/>
    </row>
    <row r="8" spans="1:13">
      <c r="A8" s="84" t="s">
        <v>353</v>
      </c>
      <c r="B8" s="78">
        <v>0</v>
      </c>
      <c r="C8" s="78" t="s">
        <v>354</v>
      </c>
      <c r="D8" s="80">
        <f>IFERROR(VLOOKUP($A8,'Balancete 2015'!$A:$D,4,0), "0")</f>
        <v>51.98</v>
      </c>
      <c r="E8" s="81">
        <v>100</v>
      </c>
      <c r="F8" s="81"/>
      <c r="G8" s="81"/>
      <c r="H8" s="80">
        <f>IFERROR(VLOOKUP($A8,'Balancete 2016'!$A:$D,4,0), "0")</f>
        <v>51.98</v>
      </c>
      <c r="J8" s="57"/>
      <c r="K8" s="58"/>
      <c r="L8" s="58"/>
      <c r="M8" s="59"/>
    </row>
    <row r="9" spans="1:13">
      <c r="A9" s="84" t="s">
        <v>355</v>
      </c>
      <c r="B9" s="78">
        <v>-2</v>
      </c>
      <c r="C9" s="78" t="s">
        <v>370</v>
      </c>
      <c r="D9" s="80">
        <f>IFERROR(VLOOKUP($A9,'Balancete 2015'!$A:$D,4,0), "0")</f>
        <v>51.98</v>
      </c>
      <c r="E9" s="81"/>
      <c r="F9" s="81"/>
      <c r="G9" s="81"/>
      <c r="H9" s="80">
        <f>IFERROR(VLOOKUP($A9,'Balancete 2016'!$A:$D,4,0), "0")</f>
        <v>51.98</v>
      </c>
      <c r="J9" s="57"/>
      <c r="K9" s="58"/>
      <c r="L9" s="58"/>
      <c r="M9" s="59"/>
    </row>
    <row r="10" spans="1:13">
      <c r="A10" s="84" t="s">
        <v>356</v>
      </c>
      <c r="B10" s="78">
        <v>-8</v>
      </c>
      <c r="C10" s="78" t="s">
        <v>370</v>
      </c>
      <c r="D10" s="80">
        <f>IFERROR(VLOOKUP($A10,'Balancete 2015'!$A:$D,4,0), "0")</f>
        <v>51.98</v>
      </c>
      <c r="E10" s="81"/>
      <c r="F10" s="81"/>
      <c r="G10" s="81"/>
      <c r="H10" s="80">
        <f>IFERROR(VLOOKUP($A10,'Balancete 2016'!$A:$D,4,0), "0")</f>
        <v>51.98</v>
      </c>
      <c r="J10" s="57"/>
      <c r="K10" s="58"/>
      <c r="L10" s="58"/>
      <c r="M10" s="59"/>
    </row>
    <row r="11" spans="1:13">
      <c r="A11" s="84" t="s">
        <v>357</v>
      </c>
      <c r="B11" s="78">
        <v>-6</v>
      </c>
      <c r="C11" s="78" t="s">
        <v>370</v>
      </c>
      <c r="D11" s="80">
        <f>IFERROR(VLOOKUP($A11,'Balancete 2015'!$A:$D,4,0), "0")</f>
        <v>51.98</v>
      </c>
      <c r="E11" s="81"/>
      <c r="F11" s="81"/>
      <c r="G11" s="81"/>
      <c r="H11" s="80">
        <f>IFERROR(VLOOKUP($A11,'Balancete 2016'!$A:$D,4,0), "0")</f>
        <v>51.98</v>
      </c>
      <c r="J11" s="57"/>
      <c r="K11" s="58"/>
      <c r="L11" s="58"/>
      <c r="M11" s="59"/>
    </row>
    <row r="12" spans="1:13">
      <c r="A12" s="84" t="s">
        <v>316</v>
      </c>
      <c r="B12" s="78">
        <v>-1</v>
      </c>
      <c r="C12" s="78" t="s">
        <v>358</v>
      </c>
      <c r="D12" s="80">
        <f>IFERROR(VLOOKUP($A12,'Balancete 2015'!$A:$D,4,0), "0")</f>
        <v>103286039.34999999</v>
      </c>
      <c r="E12" s="81">
        <v>100</v>
      </c>
      <c r="F12" s="81"/>
      <c r="G12" s="81"/>
      <c r="H12" s="80">
        <f>IFERROR(VLOOKUP($A12,'Balancete 2016'!$A:$D,4,0), "0")</f>
        <v>117751873.09999999</v>
      </c>
      <c r="J12" s="57"/>
      <c r="K12" s="58"/>
      <c r="L12" s="58"/>
      <c r="M12" s="59"/>
    </row>
    <row r="13" spans="1:13">
      <c r="A13" s="84" t="s">
        <v>359</v>
      </c>
      <c r="B13" s="78">
        <v>0</v>
      </c>
      <c r="C13" s="78" t="s">
        <v>360</v>
      </c>
      <c r="D13" s="80">
        <f>IFERROR(VLOOKUP($A13,'Balancete 2015'!$A:$D,4,0), "0")</f>
        <v>103286039.34999999</v>
      </c>
      <c r="E13" s="81"/>
      <c r="F13" s="81"/>
      <c r="G13" s="81"/>
      <c r="H13" s="80">
        <f>IFERROR(VLOOKUP($A13,'Balancete 2016'!$A:$D,4,0), "0")</f>
        <v>117751873.09999999</v>
      </c>
      <c r="J13" s="57"/>
      <c r="K13" s="58"/>
      <c r="L13" s="58"/>
      <c r="M13" s="59"/>
    </row>
    <row r="14" spans="1:13">
      <c r="A14" s="84" t="s">
        <v>361</v>
      </c>
      <c r="B14" s="78">
        <v>-3</v>
      </c>
      <c r="C14" s="78" t="s">
        <v>362</v>
      </c>
      <c r="D14" s="80">
        <f>IFERROR(VLOOKUP($A14,'Balancete 2015'!$A:$D,4,0), "0")</f>
        <v>103286039.34999999</v>
      </c>
      <c r="E14" s="81"/>
      <c r="F14" s="81"/>
      <c r="G14" s="81"/>
      <c r="H14" s="80">
        <f>IFERROR(VLOOKUP($A14,'Balancete 2016'!$A:$D,4,0), "0")</f>
        <v>117751873.09999999</v>
      </c>
      <c r="J14" s="57"/>
      <c r="K14" s="58"/>
      <c r="L14" s="58"/>
      <c r="M14" s="59"/>
    </row>
    <row r="15" spans="1:13">
      <c r="A15" s="84" t="s">
        <v>371</v>
      </c>
      <c r="B15" s="78">
        <v>-8</v>
      </c>
      <c r="C15" s="78" t="s">
        <v>372</v>
      </c>
      <c r="D15" s="80">
        <v>84760131.480000004</v>
      </c>
      <c r="E15" s="81"/>
      <c r="F15" s="81"/>
      <c r="G15" s="81"/>
      <c r="H15" s="80">
        <f>IFERROR(VLOOKUP($A15,'Balancete 2016'!$A:$D,4,0), "0")</f>
        <v>117751873.09999999</v>
      </c>
      <c r="J15" s="57"/>
      <c r="K15" s="58"/>
      <c r="L15" s="58"/>
      <c r="M15" s="59"/>
    </row>
    <row r="16" spans="1:13">
      <c r="A16" s="84" t="s">
        <v>373</v>
      </c>
      <c r="B16" s="78">
        <v>-9</v>
      </c>
      <c r="C16" s="78" t="s">
        <v>374</v>
      </c>
      <c r="D16" s="80">
        <f>IFERROR(VLOOKUP($A16,'Balancete 2015'!$A:$D,4,0), "0")</f>
        <v>103286039.34999999</v>
      </c>
      <c r="E16" s="81"/>
      <c r="F16" s="81"/>
      <c r="G16" s="81" t="s">
        <v>596</v>
      </c>
      <c r="H16" s="80">
        <f>IFERROR(VLOOKUP($A16,'Balancete 2016'!$A:$D,4,0), "0")</f>
        <v>117751873.09999999</v>
      </c>
      <c r="J16" s="57"/>
      <c r="K16" s="58"/>
      <c r="L16" s="58"/>
      <c r="M16" s="59"/>
    </row>
    <row r="17" spans="1:13">
      <c r="A17" s="84" t="s">
        <v>364</v>
      </c>
      <c r="B17" s="78">
        <v>-9</v>
      </c>
      <c r="C17" s="78" t="s">
        <v>365</v>
      </c>
      <c r="D17" s="80">
        <f>IFERROR(VLOOKUP($A17,'Balancete 2015'!$A:$D,4,0), "0")</f>
        <v>1362231400.8299999</v>
      </c>
      <c r="E17" s="81"/>
      <c r="F17" s="81"/>
      <c r="G17" s="81"/>
      <c r="H17" s="80">
        <f>IFERROR(VLOOKUP($A17,'Balancete 2016'!$A:$D,4,0), "0")</f>
        <v>1507348347.52</v>
      </c>
      <c r="J17" s="57"/>
      <c r="K17" s="58"/>
      <c r="L17" s="58"/>
      <c r="M17" s="59"/>
    </row>
    <row r="18" spans="1:13">
      <c r="A18" s="84" t="s">
        <v>366</v>
      </c>
      <c r="B18" s="78">
        <v>-7</v>
      </c>
      <c r="C18" s="78" t="s">
        <v>367</v>
      </c>
      <c r="D18" s="80">
        <f>IFERROR(VLOOKUP($A18,'Balancete 2015'!$A:$D,4,0), "0")</f>
        <v>1362231400.8299999</v>
      </c>
      <c r="E18" s="81"/>
      <c r="F18" s="81"/>
      <c r="G18" s="81"/>
      <c r="H18" s="80">
        <f>IFERROR(VLOOKUP($A18,'Balancete 2016'!$A:$D,4,0), "0")</f>
        <v>1507348347.52</v>
      </c>
      <c r="J18" s="57"/>
      <c r="K18" s="58"/>
      <c r="L18" s="58"/>
      <c r="M18" s="59"/>
    </row>
    <row r="19" spans="1:13">
      <c r="A19" s="84" t="s">
        <v>318</v>
      </c>
      <c r="B19" s="78">
        <v>0</v>
      </c>
      <c r="C19" s="78" t="s">
        <v>0</v>
      </c>
      <c r="D19" s="80">
        <f>IFERROR(VLOOKUP($A19,'Balancete 2015'!$A:$D,4,0), "0")</f>
        <v>612939699.64999998</v>
      </c>
      <c r="E19" s="81">
        <v>100</v>
      </c>
      <c r="F19" s="81"/>
      <c r="G19" s="81"/>
      <c r="H19" s="80">
        <f>IFERROR(VLOOKUP($A19,'Balancete 2016'!$A:$D,4,0), "0")</f>
        <v>688876225.20000005</v>
      </c>
      <c r="J19" s="57"/>
      <c r="K19" s="58"/>
      <c r="L19" s="58"/>
      <c r="M19" s="59"/>
    </row>
    <row r="20" spans="1:13">
      <c r="A20" s="84" t="s">
        <v>1</v>
      </c>
      <c r="B20" s="78">
        <v>-7</v>
      </c>
      <c r="C20" s="78" t="s">
        <v>2</v>
      </c>
      <c r="D20" s="80">
        <f>IFERROR(VLOOKUP($A20,'Balancete 2015'!$A:$D,4,0), "0")</f>
        <v>612939699.64999998</v>
      </c>
      <c r="E20" s="81"/>
      <c r="F20" s="81"/>
      <c r="G20" s="81"/>
      <c r="H20" s="80">
        <f>IFERROR(VLOOKUP($A20,'Balancete 2016'!$A:$D,4,0), "0")</f>
        <v>688876225.20000005</v>
      </c>
      <c r="J20" s="57"/>
      <c r="K20" s="58"/>
      <c r="L20" s="58"/>
      <c r="M20" s="59"/>
    </row>
    <row r="21" spans="1:13">
      <c r="A21" s="84" t="s">
        <v>3</v>
      </c>
      <c r="B21" s="78">
        <v>-5</v>
      </c>
      <c r="C21" s="78" t="s">
        <v>375</v>
      </c>
      <c r="D21" s="80">
        <f>IFERROR(VLOOKUP($A21,'Balancete 2015'!$A:$D,4,0), "0")</f>
        <v>612939699.64999998</v>
      </c>
      <c r="E21" s="81"/>
      <c r="F21" s="81"/>
      <c r="G21" s="81" t="s">
        <v>597</v>
      </c>
      <c r="H21" s="80">
        <f>IFERROR(VLOOKUP($A21,'Balancete 2016'!$A:$D,4,0), "0")</f>
        <v>688876225.20000005</v>
      </c>
      <c r="J21" s="57"/>
      <c r="K21" s="58"/>
      <c r="L21" s="58"/>
      <c r="M21" s="59"/>
    </row>
    <row r="22" spans="1:13">
      <c r="A22" s="84" t="s">
        <v>376</v>
      </c>
      <c r="B22" s="78">
        <v>-3</v>
      </c>
      <c r="C22" s="78" t="s">
        <v>377</v>
      </c>
      <c r="D22" s="80">
        <f>IFERROR(VLOOKUP($A22,'Balancete 2015'!$A:$D,4,0), "0")</f>
        <v>26092686.260000002</v>
      </c>
      <c r="E22" s="81">
        <v>100</v>
      </c>
      <c r="F22" s="81"/>
      <c r="G22" s="81"/>
      <c r="H22" s="80">
        <f>IFERROR(VLOOKUP($A22,'Balancete 2016'!$A:$D,4,0), "0")</f>
        <v>97899807.069999993</v>
      </c>
      <c r="J22" s="57"/>
      <c r="K22" s="58"/>
      <c r="L22" s="58"/>
      <c r="M22" s="59"/>
    </row>
    <row r="23" spans="1:13">
      <c r="A23" s="84" t="s">
        <v>378</v>
      </c>
      <c r="B23" s="78">
        <v>-6</v>
      </c>
      <c r="C23" s="78" t="s">
        <v>379</v>
      </c>
      <c r="D23" s="80">
        <f>IFERROR(VLOOKUP($A23,'Balancete 2015'!$A:$D,4,0), "0")</f>
        <v>26092686.260000002</v>
      </c>
      <c r="E23" s="81"/>
      <c r="F23" s="81"/>
      <c r="G23" s="81"/>
      <c r="H23" s="80">
        <f>IFERROR(VLOOKUP($A23,'Balancete 2016'!$A:$D,4,0), "0")</f>
        <v>97899807.069999993</v>
      </c>
      <c r="J23" s="57"/>
      <c r="K23" s="58"/>
      <c r="L23" s="58"/>
      <c r="M23" s="59"/>
    </row>
    <row r="24" spans="1:13">
      <c r="A24" s="84" t="s">
        <v>380</v>
      </c>
      <c r="B24" s="78">
        <v>-4</v>
      </c>
      <c r="C24" s="78" t="s">
        <v>381</v>
      </c>
      <c r="D24" s="80">
        <f>IFERROR(VLOOKUP($A24,'Balancete 2015'!$A:$D,4,0), "0")</f>
        <v>26092686.260000002</v>
      </c>
      <c r="E24" s="81"/>
      <c r="F24" s="81"/>
      <c r="G24" s="81" t="s">
        <v>599</v>
      </c>
      <c r="H24" s="80">
        <f>IFERROR(VLOOKUP($A24,'Balancete 2016'!$A:$D,4,0), "0")</f>
        <v>97899807.069999993</v>
      </c>
      <c r="J24" s="57"/>
      <c r="K24" s="58"/>
      <c r="L24" s="58"/>
      <c r="M24" s="59"/>
    </row>
    <row r="25" spans="1:13">
      <c r="A25" s="84" t="s">
        <v>317</v>
      </c>
      <c r="B25" s="78">
        <v>-4</v>
      </c>
      <c r="C25" s="78" t="s">
        <v>4</v>
      </c>
      <c r="D25" s="80">
        <f>IFERROR(VLOOKUP($A25,'Balancete 2015'!$A:$D,4,0), "0")</f>
        <v>723199014.91999996</v>
      </c>
      <c r="E25" s="81"/>
      <c r="F25" s="81"/>
      <c r="G25" s="81"/>
      <c r="H25" s="80">
        <f>IFERROR(VLOOKUP($A25,'Balancete 2016'!$A:$D,4,0), "0")</f>
        <v>720572315.25</v>
      </c>
      <c r="J25" s="57"/>
      <c r="K25" s="58"/>
      <c r="L25" s="58"/>
      <c r="M25" s="59"/>
    </row>
    <row r="26" spans="1:13">
      <c r="A26" s="84" t="s">
        <v>5</v>
      </c>
      <c r="B26" s="78">
        <v>0</v>
      </c>
      <c r="C26" s="78" t="s">
        <v>6</v>
      </c>
      <c r="D26" s="80">
        <f>IFERROR(VLOOKUP($A26,'Balancete 2015'!$A:$D,4,0), "0")</f>
        <v>723199014.91999996</v>
      </c>
      <c r="E26" s="81"/>
      <c r="F26" s="81"/>
      <c r="G26" s="81"/>
      <c r="H26" s="80">
        <f>IFERROR(VLOOKUP($A26,'Balancete 2016'!$A:$D,4,0), "0")</f>
        <v>720572315.25</v>
      </c>
      <c r="J26" s="57"/>
      <c r="K26" s="58"/>
      <c r="L26" s="58"/>
      <c r="M26" s="59"/>
    </row>
    <row r="27" spans="1:13">
      <c r="A27" s="84" t="s">
        <v>7</v>
      </c>
      <c r="B27" s="78">
        <v>-7</v>
      </c>
      <c r="C27" s="78" t="s">
        <v>382</v>
      </c>
      <c r="D27" s="80">
        <f>IFERROR(VLOOKUP($A27,'Balancete 2015'!$A:$D,4,0), "0")</f>
        <v>723199014.91999996</v>
      </c>
      <c r="E27" s="81">
        <v>200</v>
      </c>
      <c r="F27" s="81"/>
      <c r="G27" s="81"/>
      <c r="H27" s="80">
        <f>IFERROR(VLOOKUP($A27,'Balancete 2016'!$A:$D,4,0), "0")</f>
        <v>720572315.25</v>
      </c>
      <c r="J27" s="57"/>
      <c r="K27" s="58"/>
      <c r="L27" s="58"/>
      <c r="M27" s="59"/>
    </row>
    <row r="28" spans="1:13">
      <c r="A28" s="84" t="s">
        <v>8</v>
      </c>
      <c r="B28" s="78">
        <v>-5</v>
      </c>
      <c r="C28" s="78" t="s">
        <v>9</v>
      </c>
      <c r="D28" s="80" t="str">
        <f>IFERROR(VLOOKUP($A28,'Balancete 2015'!$A:$D,4,0), "0")</f>
        <v>0</v>
      </c>
      <c r="E28" s="81">
        <v>200</v>
      </c>
      <c r="F28" s="81"/>
      <c r="G28" s="81"/>
      <c r="H28" s="80" t="str">
        <f>IFERROR(VLOOKUP($A28,'Balancete 2016'!$A:$D,4,0), "0")</f>
        <v>0</v>
      </c>
      <c r="J28" s="57"/>
      <c r="K28" s="58"/>
      <c r="L28" s="58"/>
      <c r="M28" s="59"/>
    </row>
    <row r="29" spans="1:13">
      <c r="A29" s="84" t="s">
        <v>10</v>
      </c>
      <c r="B29" s="78">
        <v>-2</v>
      </c>
      <c r="C29" s="78" t="s">
        <v>11</v>
      </c>
      <c r="D29" s="80" t="str">
        <f>IFERROR(VLOOKUP($A29,'Balancete 2015'!$A:$D,4,0), "0")</f>
        <v>0</v>
      </c>
      <c r="E29" s="81"/>
      <c r="F29" s="81"/>
      <c r="G29" s="81"/>
      <c r="H29" s="80" t="str">
        <f>IFERROR(VLOOKUP($A29,'Balancete 2016'!$A:$D,4,0), "0")</f>
        <v>0</v>
      </c>
      <c r="J29" s="57"/>
      <c r="K29" s="58"/>
      <c r="L29" s="58"/>
      <c r="M29" s="59"/>
    </row>
    <row r="30" spans="1:13">
      <c r="A30" s="84" t="s">
        <v>12</v>
      </c>
      <c r="B30" s="78">
        <v>-5</v>
      </c>
      <c r="C30" s="78" t="s">
        <v>13</v>
      </c>
      <c r="D30" s="80">
        <f>IFERROR(VLOOKUP($A30,'Balancete 2015'!$A:$D,4,0), "0")</f>
        <v>35378480.909999996</v>
      </c>
      <c r="E30" s="81"/>
      <c r="F30" s="81"/>
      <c r="G30" s="81"/>
      <c r="H30" s="80">
        <f>IFERROR(VLOOKUP($A30,'Balancete 2016'!$A:$D,4,0), "0")</f>
        <v>6937123.1600000001</v>
      </c>
      <c r="J30" s="57"/>
      <c r="K30" s="58"/>
      <c r="L30" s="58"/>
      <c r="M30" s="59"/>
    </row>
    <row r="31" spans="1:13">
      <c r="A31" s="84" t="s">
        <v>319</v>
      </c>
      <c r="B31" s="78">
        <v>0</v>
      </c>
      <c r="C31" s="78" t="s">
        <v>14</v>
      </c>
      <c r="D31" s="80">
        <f>IFERROR(VLOOKUP($A31,'Balancete 2015'!$A:$D,4,0), "0")</f>
        <v>31860374.59</v>
      </c>
      <c r="E31" s="81"/>
      <c r="F31" s="81"/>
      <c r="G31" s="81"/>
      <c r="H31" s="80">
        <f>IFERROR(VLOOKUP($A31,'Balancete 2016'!$A:$D,4,0), "0")</f>
        <v>1758669.46</v>
      </c>
      <c r="J31" s="57"/>
      <c r="K31" s="58"/>
      <c r="L31" s="58"/>
      <c r="M31" s="59"/>
    </row>
    <row r="32" spans="1:13">
      <c r="A32" s="84" t="s">
        <v>15</v>
      </c>
      <c r="B32" s="78">
        <v>-1</v>
      </c>
      <c r="C32" s="78" t="s">
        <v>16</v>
      </c>
      <c r="D32" s="80">
        <f>IFERROR(VLOOKUP($A32,'Balancete 2015'!$A:$D,4,0), "0")</f>
        <v>31860374.59</v>
      </c>
      <c r="E32" s="81">
        <v>300</v>
      </c>
      <c r="F32" s="81"/>
      <c r="G32" s="81"/>
      <c r="H32" s="80">
        <f>IFERROR(VLOOKUP($A32,'Balancete 2016'!$A:$D,4,0), "0")</f>
        <v>1758669.46</v>
      </c>
      <c r="J32" s="57"/>
      <c r="K32" s="58"/>
      <c r="L32" s="58"/>
      <c r="M32" s="59"/>
    </row>
    <row r="33" spans="1:13">
      <c r="A33" s="84" t="s">
        <v>17</v>
      </c>
      <c r="B33" s="78">
        <v>-3</v>
      </c>
      <c r="C33" s="78" t="s">
        <v>383</v>
      </c>
      <c r="D33" s="80">
        <f>IFERROR(VLOOKUP($A33,'Balancete 2015'!$A:$D,4,0), "0")</f>
        <v>31860374.59</v>
      </c>
      <c r="E33" s="81"/>
      <c r="F33" s="81"/>
      <c r="G33" s="81"/>
      <c r="H33" s="80">
        <f>IFERROR(VLOOKUP($A33,'Balancete 2016'!$A:$D,4,0), "0")</f>
        <v>1758669.46</v>
      </c>
      <c r="J33" s="57"/>
      <c r="K33" s="58"/>
      <c r="L33" s="58"/>
      <c r="M33" s="59"/>
    </row>
    <row r="34" spans="1:13">
      <c r="A34" s="84" t="s">
        <v>18</v>
      </c>
      <c r="B34" s="78">
        <v>-1</v>
      </c>
      <c r="C34" s="78" t="s">
        <v>384</v>
      </c>
      <c r="D34" s="80">
        <f>IFERROR(VLOOKUP($A34,'Balancete 2015'!$A:$D,4,0), "0")</f>
        <v>31776860.609999999</v>
      </c>
      <c r="E34" s="81"/>
      <c r="F34" s="81"/>
      <c r="G34" s="81"/>
      <c r="H34" s="80">
        <f>IFERROR(VLOOKUP($A34,'Balancete 2016'!$A:$D,4,0), "0")</f>
        <v>335347.78000000003</v>
      </c>
      <c r="J34" s="57"/>
      <c r="K34" s="58"/>
      <c r="L34" s="58"/>
      <c r="M34" s="59"/>
    </row>
    <row r="35" spans="1:13">
      <c r="A35" s="84" t="s">
        <v>19</v>
      </c>
      <c r="B35" s="78">
        <v>0</v>
      </c>
      <c r="C35" s="78" t="s">
        <v>385</v>
      </c>
      <c r="D35" s="80">
        <f>IFERROR(VLOOKUP($A35,'Balancete 2015'!$A:$D,4,0), "0")</f>
        <v>83513.98</v>
      </c>
      <c r="E35" s="81"/>
      <c r="F35" s="81"/>
      <c r="G35" s="81"/>
      <c r="H35" s="80">
        <f>IFERROR(VLOOKUP($A35,'Balancete 2016'!$A:$D,4,0), "0")</f>
        <v>1423321.68</v>
      </c>
      <c r="J35" s="57"/>
      <c r="K35" s="58"/>
      <c r="L35" s="58"/>
      <c r="M35" s="59"/>
    </row>
    <row r="36" spans="1:13">
      <c r="A36" s="84" t="s">
        <v>320</v>
      </c>
      <c r="B36" s="78">
        <v>0</v>
      </c>
      <c r="C36" s="78" t="s">
        <v>20</v>
      </c>
      <c r="D36" s="80">
        <f>IFERROR(VLOOKUP($A36,'Balancete 2015'!$A:$D,4,0), "0")</f>
        <v>3518106.32</v>
      </c>
      <c r="E36" s="81">
        <v>400</v>
      </c>
      <c r="F36" s="81"/>
      <c r="G36" s="81"/>
      <c r="H36" s="80">
        <f>IFERROR(VLOOKUP($A36,'Balancete 2016'!$A:$D,4,0), "0")</f>
        <v>5178453.7</v>
      </c>
      <c r="J36" s="57"/>
      <c r="K36" s="58"/>
      <c r="L36" s="58"/>
      <c r="M36" s="59"/>
    </row>
    <row r="37" spans="1:13">
      <c r="A37" s="84" t="s">
        <v>21</v>
      </c>
      <c r="B37" s="78">
        <v>0</v>
      </c>
      <c r="C37" s="78" t="s">
        <v>22</v>
      </c>
      <c r="D37" s="80">
        <f>IFERROR(VLOOKUP($A37,'Balancete 2015'!$A:$D,4,0), "0")</f>
        <v>55410.84</v>
      </c>
      <c r="E37" s="81"/>
      <c r="F37" s="81"/>
      <c r="G37" s="81"/>
      <c r="H37" s="80">
        <f>IFERROR(VLOOKUP($A37,'Balancete 2016'!$A:$D,4,0), "0")</f>
        <v>57498.64</v>
      </c>
      <c r="J37" s="57"/>
      <c r="K37" s="58"/>
      <c r="L37" s="58"/>
      <c r="M37" s="59"/>
    </row>
    <row r="38" spans="1:13">
      <c r="A38" s="84" t="s">
        <v>23</v>
      </c>
      <c r="B38" s="78">
        <v>-4</v>
      </c>
      <c r="C38" s="78" t="s">
        <v>386</v>
      </c>
      <c r="D38" s="80">
        <f>IFERROR(VLOOKUP($A38,'Balancete 2015'!$A:$D,4,0), "0")</f>
        <v>55410.84</v>
      </c>
      <c r="E38" s="81"/>
      <c r="F38" s="81"/>
      <c r="G38" s="81"/>
      <c r="H38" s="80">
        <f>IFERROR(VLOOKUP($A38,'Balancete 2016'!$A:$D,4,0), "0")</f>
        <v>57498.64</v>
      </c>
      <c r="J38" s="57"/>
      <c r="K38" s="58"/>
      <c r="L38" s="58"/>
      <c r="M38" s="59"/>
    </row>
    <row r="39" spans="1:13">
      <c r="A39" s="84" t="s">
        <v>24</v>
      </c>
      <c r="B39" s="78">
        <v>-2</v>
      </c>
      <c r="C39" s="78" t="s">
        <v>387</v>
      </c>
      <c r="D39" s="80">
        <f>IFERROR(VLOOKUP($A39,'Balancete 2015'!$A:$D,4,0), "0")</f>
        <v>40743.26</v>
      </c>
      <c r="E39" s="81"/>
      <c r="F39" s="81"/>
      <c r="G39" s="81"/>
      <c r="H39" s="80">
        <f>IFERROR(VLOOKUP($A39,'Balancete 2016'!$A:$D,4,0), "0")</f>
        <v>42278.41</v>
      </c>
      <c r="J39" s="57"/>
      <c r="K39" s="58"/>
      <c r="L39" s="58"/>
      <c r="M39" s="59"/>
    </row>
    <row r="40" spans="1:13">
      <c r="A40" s="84" t="s">
        <v>25</v>
      </c>
      <c r="B40" s="78">
        <v>0</v>
      </c>
      <c r="C40" s="78" t="s">
        <v>388</v>
      </c>
      <c r="D40" s="80">
        <f>IFERROR(VLOOKUP($A40,'Balancete 2015'!$A:$D,4,0), "0")</f>
        <v>14667.58</v>
      </c>
      <c r="E40" s="81"/>
      <c r="F40" s="81"/>
      <c r="G40" s="81"/>
      <c r="H40" s="80">
        <f>IFERROR(VLOOKUP($A40,'Balancete 2016'!$A:$D,4,0), "0")</f>
        <v>15220.23</v>
      </c>
      <c r="J40" s="57"/>
      <c r="K40" s="58"/>
      <c r="L40" s="58"/>
      <c r="M40" s="59"/>
    </row>
    <row r="41" spans="1:13">
      <c r="A41" s="84" t="s">
        <v>26</v>
      </c>
      <c r="B41" s="78">
        <v>-8</v>
      </c>
      <c r="C41" s="78" t="s">
        <v>27</v>
      </c>
      <c r="D41" s="80">
        <f>IFERROR(VLOOKUP($A41,'Balancete 2015'!$A:$D,4,0), "0")</f>
        <v>53544.480000000003</v>
      </c>
      <c r="E41" s="81"/>
      <c r="F41" s="81"/>
      <c r="G41" s="81"/>
      <c r="H41" s="80">
        <f>IFERROR(VLOOKUP($A41,'Balancete 2016'!$A:$D,4,0), "0")</f>
        <v>1236823</v>
      </c>
      <c r="J41" s="57"/>
      <c r="K41" s="58"/>
      <c r="L41" s="58"/>
      <c r="M41" s="59"/>
    </row>
    <row r="42" spans="1:13">
      <c r="A42" s="84" t="s">
        <v>389</v>
      </c>
      <c r="B42" s="78">
        <v>0</v>
      </c>
      <c r="C42" s="78" t="s">
        <v>390</v>
      </c>
      <c r="D42" s="80" t="str">
        <f>IFERROR(VLOOKUP($A42,'Balancete 2015'!$A:$D,4,0), "0")</f>
        <v>0</v>
      </c>
      <c r="E42" s="81"/>
      <c r="F42" s="81"/>
      <c r="G42" s="81"/>
      <c r="H42" s="80">
        <f>IFERROR(VLOOKUP($A42,'Balancete 2016'!$A:$D,4,0), "0")</f>
        <v>1183278.52</v>
      </c>
      <c r="J42" s="57"/>
      <c r="K42" s="58"/>
      <c r="L42" s="58"/>
      <c r="M42" s="59"/>
    </row>
    <row r="43" spans="1:13">
      <c r="A43" s="84" t="s">
        <v>391</v>
      </c>
      <c r="B43" s="78">
        <v>-8</v>
      </c>
      <c r="C43" s="78" t="s">
        <v>392</v>
      </c>
      <c r="D43" s="80" t="str">
        <f>IFERROR(VLOOKUP($A43,'Balancete 2015'!$A:$D,4,0), "0")</f>
        <v>0</v>
      </c>
      <c r="E43" s="81"/>
      <c r="F43" s="81"/>
      <c r="G43" s="81"/>
      <c r="H43" s="80" t="str">
        <f>IFERROR(VLOOKUP($A43,'Balancete 2016'!$A:$D,4,0), "0")</f>
        <v>0</v>
      </c>
      <c r="J43" s="57"/>
      <c r="K43" s="58"/>
      <c r="L43" s="58"/>
      <c r="M43" s="59"/>
    </row>
    <row r="44" spans="1:13">
      <c r="A44" s="84" t="s">
        <v>393</v>
      </c>
      <c r="B44" s="78">
        <v>-6</v>
      </c>
      <c r="C44" s="78" t="s">
        <v>394</v>
      </c>
      <c r="D44" s="80" t="str">
        <f>IFERROR(VLOOKUP($A44,'Balancete 2015'!$A:$D,4,0), "0")</f>
        <v>0</v>
      </c>
      <c r="E44" s="81"/>
      <c r="F44" s="81"/>
      <c r="G44" s="81"/>
      <c r="H44" s="80" t="str">
        <f>IFERROR(VLOOKUP($A44,'Balancete 2016'!$A:$D,4,0), "0")</f>
        <v>0</v>
      </c>
      <c r="J44" s="57"/>
      <c r="K44" s="58"/>
      <c r="L44" s="58"/>
      <c r="M44" s="59"/>
    </row>
    <row r="45" spans="1:13">
      <c r="A45" s="84" t="s">
        <v>395</v>
      </c>
      <c r="B45" s="78">
        <v>-2</v>
      </c>
      <c r="C45" s="78" t="s">
        <v>396</v>
      </c>
      <c r="D45" s="80" t="str">
        <f>IFERROR(VLOOKUP($A45,'Balancete 2015'!$A:$D,4,0), "0")</f>
        <v>0</v>
      </c>
      <c r="E45" s="81"/>
      <c r="F45" s="81"/>
      <c r="G45" s="81"/>
      <c r="H45" s="80">
        <f>IFERROR(VLOOKUP($A45,'Balancete 2016'!$A:$D,4,0), "0")</f>
        <v>1183278.52</v>
      </c>
      <c r="J45" s="57"/>
      <c r="K45" s="58"/>
      <c r="L45" s="58"/>
      <c r="M45" s="59"/>
    </row>
    <row r="46" spans="1:13">
      <c r="A46" s="77" t="s">
        <v>675</v>
      </c>
      <c r="B46" s="78">
        <v>5</v>
      </c>
      <c r="C46" s="78" t="s">
        <v>741</v>
      </c>
      <c r="D46" s="80">
        <f>IFERROR(VLOOKUP($A46,'Balancete 2015'!$A:$D,4,0), "0")</f>
        <v>53544.480000000003</v>
      </c>
      <c r="E46" s="81"/>
      <c r="F46" s="81"/>
      <c r="G46" s="81"/>
      <c r="H46" s="80">
        <f>IFERROR(VLOOKUP($A46,'Balancete 2016'!$A:$D,4,0), "0")</f>
        <v>53544.480000000003</v>
      </c>
      <c r="J46" s="60"/>
      <c r="K46" s="58"/>
      <c r="L46" s="61"/>
      <c r="M46" s="61"/>
    </row>
    <row r="47" spans="1:13">
      <c r="A47" s="77" t="s">
        <v>676</v>
      </c>
      <c r="B47" s="78">
        <v>3</v>
      </c>
      <c r="C47" s="78" t="s">
        <v>742</v>
      </c>
      <c r="D47" s="80">
        <f>IFERROR(VLOOKUP($A47,'Balancete 2015'!$A:$D,4,0), "0")</f>
        <v>53544.480000000003</v>
      </c>
      <c r="E47" s="81"/>
      <c r="F47" s="81"/>
      <c r="G47" s="81"/>
      <c r="H47" s="80">
        <f>IFERROR(VLOOKUP($A47,'Balancete 2016'!$A:$D,4,0), "0")</f>
        <v>53544.480000000003</v>
      </c>
      <c r="J47" s="60"/>
      <c r="K47" s="58"/>
      <c r="L47" s="61"/>
      <c r="M47" s="61"/>
    </row>
    <row r="48" spans="1:13">
      <c r="A48" s="77" t="s">
        <v>882</v>
      </c>
      <c r="B48" s="78">
        <v>-2</v>
      </c>
      <c r="C48" s="79" t="s">
        <v>883</v>
      </c>
      <c r="D48" s="80">
        <f>IFERROR(VLOOKUP($A48,'Balancete 2015'!$A:$D,4,0), "0")</f>
        <v>3401410.97</v>
      </c>
      <c r="E48" s="81">
        <v>401</v>
      </c>
      <c r="F48" s="81"/>
      <c r="G48" s="81"/>
      <c r="H48" s="80">
        <f>IFERROR(VLOOKUP($A48,'Balancete 2016'!$A:$D,4,0), "0")</f>
        <v>3878274.07</v>
      </c>
      <c r="J48" s="60"/>
      <c r="K48" s="58"/>
      <c r="L48" s="61"/>
      <c r="M48" s="61"/>
    </row>
    <row r="49" spans="1:13">
      <c r="A49" s="77" t="s">
        <v>884</v>
      </c>
      <c r="B49" s="78">
        <v>-8</v>
      </c>
      <c r="C49" s="79" t="s">
        <v>885</v>
      </c>
      <c r="D49" s="80">
        <f>IFERROR(VLOOKUP($A49,'Balancete 2015'!$A:$D,4,0), "0")</f>
        <v>3401410.97</v>
      </c>
      <c r="E49" s="81"/>
      <c r="F49" s="81"/>
      <c r="G49" s="81"/>
      <c r="H49" s="80">
        <f>IFERROR(VLOOKUP($A49,'Balancete 2016'!$A:$D,4,0), "0")</f>
        <v>3878274.07</v>
      </c>
      <c r="J49" s="60"/>
      <c r="K49" s="58"/>
      <c r="L49" s="61"/>
      <c r="M49" s="61"/>
    </row>
    <row r="50" spans="1:13">
      <c r="A50" s="77" t="s">
        <v>886</v>
      </c>
      <c r="B50" s="78">
        <v>-2</v>
      </c>
      <c r="C50" s="79" t="s">
        <v>887</v>
      </c>
      <c r="D50" s="80">
        <f>IFERROR(VLOOKUP($A50,'Balancete 2015'!$A:$D,4,0), "0")</f>
        <v>3401410.97</v>
      </c>
      <c r="E50" s="81"/>
      <c r="F50" s="81"/>
      <c r="G50" s="81"/>
      <c r="H50" s="80">
        <f>IFERROR(VLOOKUP($A50,'Balancete 2016'!$A:$D,4,0), "0")</f>
        <v>3878274.07</v>
      </c>
      <c r="J50" s="60"/>
      <c r="K50" s="58"/>
      <c r="L50" s="61"/>
      <c r="M50" s="61"/>
    </row>
    <row r="51" spans="1:13">
      <c r="A51" s="84" t="s">
        <v>302</v>
      </c>
      <c r="B51" s="78">
        <v>-2</v>
      </c>
      <c r="C51" s="78" t="s">
        <v>303</v>
      </c>
      <c r="D51" s="80">
        <f>IFERROR(VLOOKUP($A51,'Balancete 2015'!$A:$D,4,0), "0")</f>
        <v>7740.03</v>
      </c>
      <c r="E51" s="81"/>
      <c r="F51" s="81"/>
      <c r="G51" s="81"/>
      <c r="H51" s="80">
        <f>IFERROR(VLOOKUP($A51,'Balancete 2016'!$A:$D,4,0), "0")</f>
        <v>5857.99</v>
      </c>
      <c r="J51" s="57"/>
      <c r="K51" s="58"/>
      <c r="L51" s="58"/>
      <c r="M51" s="59"/>
    </row>
    <row r="52" spans="1:13">
      <c r="A52" s="84" t="s">
        <v>304</v>
      </c>
      <c r="B52" s="78">
        <v>-7</v>
      </c>
      <c r="C52" s="78" t="s">
        <v>303</v>
      </c>
      <c r="D52" s="80">
        <f>IFERROR(VLOOKUP($A52,'Balancete 2015'!$A:$D,4,0), "0")</f>
        <v>7740.03</v>
      </c>
      <c r="E52" s="81"/>
      <c r="F52" s="81"/>
      <c r="G52" s="81"/>
      <c r="H52" s="80">
        <f>IFERROR(VLOOKUP($A52,'Balancete 2016'!$A:$D,4,0), "0")</f>
        <v>5857.99</v>
      </c>
      <c r="J52" s="57"/>
      <c r="K52" s="58"/>
      <c r="L52" s="58"/>
      <c r="M52" s="59"/>
    </row>
    <row r="53" spans="1:13">
      <c r="A53" s="84" t="s">
        <v>305</v>
      </c>
      <c r="B53" s="78">
        <v>-4</v>
      </c>
      <c r="C53" s="78" t="s">
        <v>397</v>
      </c>
      <c r="D53" s="80">
        <f>IFERROR(VLOOKUP($A53,'Balancete 2015'!$A:$D,4,0), "0")</f>
        <v>7740.03</v>
      </c>
      <c r="E53" s="81"/>
      <c r="F53" s="81"/>
      <c r="G53" s="81"/>
      <c r="H53" s="80">
        <f>IFERROR(VLOOKUP($A53,'Balancete 2016'!$A:$D,4,0), "0")</f>
        <v>5857.99</v>
      </c>
      <c r="J53" s="57"/>
      <c r="K53" s="58"/>
      <c r="L53" s="58"/>
      <c r="M53" s="59"/>
    </row>
    <row r="54" spans="1:13">
      <c r="A54" s="84">
        <v>2</v>
      </c>
      <c r="B54" s="78">
        <v>-3</v>
      </c>
      <c r="C54" s="78" t="s">
        <v>245</v>
      </c>
      <c r="D54" s="80">
        <f>IFERROR(VLOOKUP($A54,'Balancete 2015'!$A:$D,4,0), "0")</f>
        <v>2138207148.71</v>
      </c>
      <c r="E54" s="81"/>
      <c r="F54" s="81"/>
      <c r="G54" s="81"/>
      <c r="H54" s="80">
        <f>IFERROR(VLOOKUP($A54,'Balancete 2016'!$A:$D,4,0), "0")</f>
        <v>2052857494.0799999</v>
      </c>
      <c r="J54" s="57"/>
      <c r="K54" s="58"/>
      <c r="L54" s="58"/>
      <c r="M54" s="59"/>
    </row>
    <row r="55" spans="1:13">
      <c r="A55" s="84" t="s">
        <v>321</v>
      </c>
      <c r="B55" s="78">
        <v>0</v>
      </c>
      <c r="C55" s="78" t="s">
        <v>28</v>
      </c>
      <c r="D55" s="80">
        <f>IFERROR(VLOOKUP($A55,'Balancete 2015'!$A:$D,4,0), "0")</f>
        <v>2138207148.71</v>
      </c>
      <c r="E55" s="81">
        <v>500</v>
      </c>
      <c r="F55" s="81"/>
      <c r="G55" s="81"/>
      <c r="H55" s="80">
        <f>IFERROR(VLOOKUP($A55,'Balancete 2016'!$A:$D,4,0), "0")</f>
        <v>2052857494.0799999</v>
      </c>
      <c r="J55" s="57"/>
      <c r="K55" s="58"/>
      <c r="L55" s="58"/>
      <c r="M55" s="59"/>
    </row>
    <row r="56" spans="1:13">
      <c r="A56" s="84" t="s">
        <v>29</v>
      </c>
      <c r="B56" s="78">
        <v>-7</v>
      </c>
      <c r="C56" s="78" t="s">
        <v>30</v>
      </c>
      <c r="D56" s="80">
        <f>IFERROR(VLOOKUP($A56,'Balancete 2015'!$A:$D,4,0), "0")</f>
        <v>2138207148.71</v>
      </c>
      <c r="E56" s="81"/>
      <c r="F56" s="81"/>
      <c r="G56" s="81"/>
      <c r="H56" s="80">
        <f>IFERROR(VLOOKUP($A56,'Balancete 2016'!$A:$D,4,0), "0")</f>
        <v>2052857494.0799999</v>
      </c>
      <c r="J56" s="57"/>
      <c r="K56" s="58"/>
      <c r="L56" s="58"/>
      <c r="M56" s="59"/>
    </row>
    <row r="57" spans="1:13">
      <c r="A57" s="84" t="s">
        <v>31</v>
      </c>
      <c r="B57" s="78">
        <v>0</v>
      </c>
      <c r="C57" s="78" t="s">
        <v>32</v>
      </c>
      <c r="D57" s="80">
        <f>IFERROR(VLOOKUP($A57,'Balancete 2015'!$A:$D,4,0), "0")</f>
        <v>2138207148.71</v>
      </c>
      <c r="E57" s="81"/>
      <c r="F57" s="81"/>
      <c r="G57" s="81"/>
      <c r="H57" s="80">
        <f>IFERROR(VLOOKUP($A57,'Balancete 2016'!$A:$D,4,0), "0")</f>
        <v>2087333381.1500001</v>
      </c>
      <c r="J57" s="57"/>
      <c r="K57" s="58"/>
      <c r="L57" s="58"/>
      <c r="M57" s="59"/>
    </row>
    <row r="58" spans="1:13">
      <c r="A58" s="84" t="s">
        <v>268</v>
      </c>
      <c r="B58" s="78">
        <v>-2</v>
      </c>
      <c r="C58" s="78" t="s">
        <v>398</v>
      </c>
      <c r="D58" s="80">
        <f>IFERROR(VLOOKUP($A58,'Balancete 2015'!$A:$D,4,0), "0")</f>
        <v>1528663343.77</v>
      </c>
      <c r="E58" s="81"/>
      <c r="F58" s="81"/>
      <c r="G58" s="81"/>
      <c r="H58" s="80">
        <f>IFERROR(VLOOKUP($A58,'Balancete 2016'!$A:$D,4,0), "0")</f>
        <v>1485670937.0699999</v>
      </c>
      <c r="J58" s="57"/>
      <c r="K58" s="58"/>
      <c r="L58" s="58"/>
      <c r="M58" s="59"/>
    </row>
    <row r="59" spans="1:13">
      <c r="A59" s="84" t="s">
        <v>269</v>
      </c>
      <c r="B59" s="78">
        <v>0</v>
      </c>
      <c r="C59" s="78" t="s">
        <v>589</v>
      </c>
      <c r="D59" s="80">
        <f>IFERROR(VLOOKUP($A59,'Balancete 2015'!$A:$D,4,0), "0")</f>
        <v>1529615982.96</v>
      </c>
      <c r="E59" s="81"/>
      <c r="F59" s="81"/>
      <c r="G59" s="81"/>
      <c r="H59" s="80">
        <f>IFERROR(VLOOKUP($A59,'Balancete 2016'!$A:$D,4,0), "0")</f>
        <v>1486623576.26</v>
      </c>
      <c r="J59" s="57"/>
      <c r="K59" s="58"/>
      <c r="L59" s="58"/>
      <c r="M59" s="59"/>
    </row>
    <row r="60" spans="1:13">
      <c r="A60" s="77" t="s">
        <v>653</v>
      </c>
      <c r="B60" s="78">
        <v>0</v>
      </c>
      <c r="C60" s="78" t="s">
        <v>689</v>
      </c>
      <c r="D60" s="80">
        <f>IFERROR(VLOOKUP($A60,'Balancete 2015'!$A:$D,4,0), "0")</f>
        <v>-952639.19</v>
      </c>
      <c r="E60" s="81"/>
      <c r="F60" s="81"/>
      <c r="G60" s="81"/>
      <c r="H60" s="80">
        <f>IFERROR(VLOOKUP($A60,'Balancete 2016'!$A:$D,4,0), "0")</f>
        <v>-952639.19</v>
      </c>
      <c r="J60" s="57"/>
      <c r="K60" s="58"/>
      <c r="L60" s="58"/>
      <c r="M60" s="59"/>
    </row>
    <row r="61" spans="1:13">
      <c r="A61" s="84" t="s">
        <v>270</v>
      </c>
      <c r="B61" s="78">
        <v>-9</v>
      </c>
      <c r="C61" s="78" t="s">
        <v>399</v>
      </c>
      <c r="D61" s="80">
        <f>IFERROR(VLOOKUP($A61,'Balancete 2015'!$A:$D,4,0), "0")</f>
        <v>176358000</v>
      </c>
      <c r="E61" s="81"/>
      <c r="F61" s="81"/>
      <c r="G61" s="81"/>
      <c r="H61" s="80">
        <f>IFERROR(VLOOKUP($A61,'Balancete 2016'!$A:$D,4,0), "0")</f>
        <v>176358000</v>
      </c>
      <c r="J61" s="57"/>
      <c r="K61" s="58"/>
      <c r="L61" s="58"/>
      <c r="M61" s="59"/>
    </row>
    <row r="62" spans="1:13">
      <c r="A62" s="84" t="s">
        <v>271</v>
      </c>
      <c r="B62" s="78">
        <v>-7</v>
      </c>
      <c r="C62" s="78" t="s">
        <v>400</v>
      </c>
      <c r="D62" s="80">
        <f>IFERROR(VLOOKUP($A62,'Balancete 2015'!$A:$D,4,0), "0")</f>
        <v>176358000</v>
      </c>
      <c r="E62" s="81"/>
      <c r="F62" s="81"/>
      <c r="G62" s="81"/>
      <c r="H62" s="80">
        <f>IFERROR(VLOOKUP($A62,'Balancete 2016'!$A:$D,4,0), "0")</f>
        <v>176358000</v>
      </c>
      <c r="J62" s="57"/>
      <c r="K62" s="58"/>
      <c r="L62" s="58"/>
      <c r="M62" s="59"/>
    </row>
    <row r="63" spans="1:13">
      <c r="A63" s="84" t="s">
        <v>272</v>
      </c>
      <c r="B63" s="78">
        <v>-1</v>
      </c>
      <c r="C63" s="78" t="s">
        <v>401</v>
      </c>
      <c r="D63" s="80">
        <f>IFERROR(VLOOKUP($A63,'Balancete 2015'!$A:$D,4,0), "0")</f>
        <v>32965137.940000001</v>
      </c>
      <c r="E63" s="81"/>
      <c r="F63" s="81"/>
      <c r="G63" s="81"/>
      <c r="H63" s="80">
        <f>IFERROR(VLOOKUP($A63,'Balancete 2016'!$A:$D,4,0), "0")</f>
        <v>32683799.68</v>
      </c>
      <c r="J63" s="57"/>
      <c r="K63" s="58"/>
      <c r="L63" s="58"/>
      <c r="M63" s="59"/>
    </row>
    <row r="64" spans="1:13">
      <c r="A64" s="84" t="s">
        <v>273</v>
      </c>
      <c r="B64" s="78">
        <v>0</v>
      </c>
      <c r="C64" s="78" t="s">
        <v>402</v>
      </c>
      <c r="D64" s="80">
        <f>IFERROR(VLOOKUP($A64,'Balancete 2015'!$A:$D,4,0), "0")</f>
        <v>162276000</v>
      </c>
      <c r="E64" s="81"/>
      <c r="F64" s="81"/>
      <c r="G64" s="81"/>
      <c r="H64" s="80">
        <f>IFERROR(VLOOKUP($A64,'Balancete 2016'!$A:$D,4,0), "0")</f>
        <v>162276000</v>
      </c>
      <c r="J64" s="57"/>
      <c r="K64" s="58"/>
      <c r="L64" s="58"/>
      <c r="M64" s="59"/>
    </row>
    <row r="65" spans="1:13">
      <c r="A65" s="84" t="s">
        <v>274</v>
      </c>
      <c r="B65" s="78">
        <v>-8</v>
      </c>
      <c r="C65" s="78" t="s">
        <v>403</v>
      </c>
      <c r="D65" s="80">
        <f>IFERROR(VLOOKUP($A65,'Balancete 2015'!$A:$D,4,0), "0")</f>
        <v>-129310862.06</v>
      </c>
      <c r="E65" s="81"/>
      <c r="F65" s="81"/>
      <c r="G65" s="81"/>
      <c r="H65" s="80">
        <f>IFERROR(VLOOKUP($A65,'Balancete 2016'!$A:$D,4,0), "0")</f>
        <v>-129592200.31999999</v>
      </c>
      <c r="J65" s="57"/>
      <c r="K65" s="58"/>
      <c r="L65" s="58"/>
      <c r="M65" s="59"/>
    </row>
    <row r="66" spans="1:13">
      <c r="A66" s="84" t="s">
        <v>275</v>
      </c>
      <c r="B66" s="78">
        <v>-8</v>
      </c>
      <c r="C66" s="78" t="s">
        <v>276</v>
      </c>
      <c r="D66" s="80">
        <f>IFERROR(VLOOKUP($A66,'Balancete 2015'!$A:$D,4,0), "0")</f>
        <v>132998508.81999999</v>
      </c>
      <c r="E66" s="81"/>
      <c r="F66" s="81"/>
      <c r="G66" s="81"/>
      <c r="H66" s="80">
        <f>IFERROR(VLOOKUP($A66,'Balancete 2016'!$A:$D,4,0), "0")</f>
        <v>146024147.78</v>
      </c>
      <c r="J66" s="57"/>
      <c r="K66" s="58"/>
      <c r="L66" s="58"/>
      <c r="M66" s="59"/>
    </row>
    <row r="67" spans="1:13">
      <c r="A67" s="84" t="s">
        <v>277</v>
      </c>
      <c r="B67" s="78">
        <v>-6</v>
      </c>
      <c r="C67" s="78" t="s">
        <v>590</v>
      </c>
      <c r="D67" s="80" t="str">
        <f>IFERROR(VLOOKUP($A67,'Balancete 2015'!$A:$D,4,0), "0")</f>
        <v>0</v>
      </c>
      <c r="E67" s="81"/>
      <c r="F67" s="81"/>
      <c r="G67" s="81"/>
      <c r="H67" s="80" t="str">
        <f>IFERROR(VLOOKUP($A67,'Balancete 2016'!$A:$D,4,0), "0")</f>
        <v>0</v>
      </c>
      <c r="J67" s="57"/>
      <c r="K67" s="58"/>
      <c r="L67" s="58"/>
      <c r="M67" s="59"/>
    </row>
    <row r="68" spans="1:13">
      <c r="A68" s="84" t="s">
        <v>278</v>
      </c>
      <c r="B68" s="78">
        <v>-4</v>
      </c>
      <c r="C68" s="78" t="s">
        <v>404</v>
      </c>
      <c r="D68" s="80">
        <f>IFERROR(VLOOKUP($A68,'Balancete 2015'!$A:$D,4,0), "0")</f>
        <v>18541523.02</v>
      </c>
      <c r="E68" s="81"/>
      <c r="F68" s="81"/>
      <c r="G68" s="81"/>
      <c r="H68" s="80">
        <f>IFERROR(VLOOKUP($A68,'Balancete 2016'!$A:$D,4,0), "0")</f>
        <v>23111134.75</v>
      </c>
      <c r="J68" s="57"/>
      <c r="K68" s="58"/>
      <c r="L68" s="58"/>
      <c r="M68" s="59"/>
    </row>
    <row r="69" spans="1:13">
      <c r="A69" s="84" t="s">
        <v>279</v>
      </c>
      <c r="B69" s="78">
        <v>-2</v>
      </c>
      <c r="C69" s="78" t="s">
        <v>405</v>
      </c>
      <c r="D69" s="80">
        <f>IFERROR(VLOOKUP($A69,'Balancete 2015'!$A:$D,4,0), "0")</f>
        <v>6955910.9500000002</v>
      </c>
      <c r="E69" s="81"/>
      <c r="F69" s="81"/>
      <c r="G69" s="81"/>
      <c r="H69" s="80">
        <f>IFERROR(VLOOKUP($A69,'Balancete 2016'!$A:$D,4,0), "0")</f>
        <v>6993684.9100000001</v>
      </c>
      <c r="J69" s="57"/>
      <c r="K69" s="58"/>
      <c r="L69" s="58"/>
      <c r="M69" s="59"/>
    </row>
    <row r="70" spans="1:13">
      <c r="A70" s="84" t="s">
        <v>406</v>
      </c>
      <c r="B70" s="78">
        <v>0</v>
      </c>
      <c r="C70" s="78" t="s">
        <v>407</v>
      </c>
      <c r="D70" s="80">
        <f>IFERROR(VLOOKUP($A70,'Balancete 2015'!$A:$D,4,0), "0")</f>
        <v>38292277.310000002</v>
      </c>
      <c r="E70" s="81"/>
      <c r="F70" s="81"/>
      <c r="G70" s="81"/>
      <c r="H70" s="80">
        <f>IFERROR(VLOOKUP($A70,'Balancete 2016'!$A:$D,4,0), "0")</f>
        <v>39408512.359999999</v>
      </c>
      <c r="J70" s="57"/>
      <c r="K70" s="58"/>
      <c r="L70" s="58"/>
      <c r="M70" s="59"/>
    </row>
    <row r="71" spans="1:13">
      <c r="A71" s="77" t="s">
        <v>677</v>
      </c>
      <c r="B71" s="78">
        <v>2</v>
      </c>
      <c r="C71" s="59" t="s">
        <v>743</v>
      </c>
      <c r="D71" s="80"/>
      <c r="E71" s="81"/>
      <c r="F71" s="81"/>
      <c r="G71" s="81"/>
      <c r="H71" s="80" t="str">
        <f>IFERROR(VLOOKUP($A71,'Balancete 2016'!$A:$D,4,0), "0")</f>
        <v>0</v>
      </c>
      <c r="J71" s="57"/>
      <c r="K71" s="58"/>
      <c r="L71" s="58"/>
      <c r="M71" s="59"/>
    </row>
    <row r="72" spans="1:13">
      <c r="A72" s="84" t="s">
        <v>280</v>
      </c>
      <c r="B72" s="78">
        <v>0</v>
      </c>
      <c r="C72" s="78" t="s">
        <v>408</v>
      </c>
      <c r="D72" s="80">
        <f>IFERROR(VLOOKUP($A72,'Balancete 2015'!$A:$D,4,0), "0")</f>
        <v>1840749.35</v>
      </c>
      <c r="E72" s="81"/>
      <c r="F72" s="81"/>
      <c r="G72" s="81"/>
      <c r="H72" s="80">
        <f>IFERROR(VLOOKUP($A72,'Balancete 2016'!$A:$D,4,0), "0")</f>
        <v>1874310.73</v>
      </c>
      <c r="J72" s="57"/>
      <c r="K72" s="58"/>
      <c r="L72" s="58"/>
      <c r="M72" s="59"/>
    </row>
    <row r="73" spans="1:13">
      <c r="A73" s="84" t="s">
        <v>281</v>
      </c>
      <c r="B73" s="78">
        <v>-9</v>
      </c>
      <c r="C73" s="78" t="s">
        <v>409</v>
      </c>
      <c r="D73" s="80">
        <f>IFERROR(VLOOKUP($A73,'Balancete 2015'!$A:$D,4,0), "0")</f>
        <v>2.5</v>
      </c>
      <c r="E73" s="81"/>
      <c r="F73" s="81"/>
      <c r="G73" s="81"/>
      <c r="H73" s="80">
        <f>IFERROR(VLOOKUP($A73,'Balancete 2016'!$A:$D,4,0), "0")</f>
        <v>2.5</v>
      </c>
      <c r="J73" s="57"/>
      <c r="K73" s="58"/>
      <c r="L73" s="58"/>
      <c r="M73" s="59"/>
    </row>
    <row r="74" spans="1:13">
      <c r="A74" s="84" t="s">
        <v>282</v>
      </c>
      <c r="B74" s="78">
        <v>-7</v>
      </c>
      <c r="C74" s="78" t="s">
        <v>410</v>
      </c>
      <c r="D74" s="80">
        <f>IFERROR(VLOOKUP($A74,'Balancete 2015'!$A:$D,4,0), "0")</f>
        <v>32427856.469999999</v>
      </c>
      <c r="E74" s="81"/>
      <c r="F74" s="81"/>
      <c r="G74" s="81"/>
      <c r="H74" s="80">
        <f>IFERROR(VLOOKUP($A74,'Balancete 2016'!$A:$D,4,0), "0")</f>
        <v>32684684.059999999</v>
      </c>
      <c r="J74" s="57"/>
      <c r="K74" s="58"/>
      <c r="L74" s="58"/>
      <c r="M74" s="59"/>
    </row>
    <row r="75" spans="1:13">
      <c r="A75" s="84" t="s">
        <v>283</v>
      </c>
      <c r="B75" s="78">
        <v>-5</v>
      </c>
      <c r="C75" s="78" t="s">
        <v>411</v>
      </c>
      <c r="D75" s="80" t="str">
        <f>IFERROR(VLOOKUP($A75,'Balancete 2015'!$A:$D,4,0), "0")</f>
        <v>0</v>
      </c>
      <c r="E75" s="81"/>
      <c r="F75" s="81"/>
      <c r="G75" s="81"/>
      <c r="H75" s="80" t="str">
        <f>IFERROR(VLOOKUP($A75,'Balancete 2016'!$A:$D,4,0), "0")</f>
        <v>0</v>
      </c>
      <c r="J75" s="57"/>
      <c r="K75" s="58"/>
      <c r="L75" s="58"/>
      <c r="M75" s="59"/>
    </row>
    <row r="76" spans="1:13">
      <c r="A76" s="84" t="s">
        <v>284</v>
      </c>
      <c r="B76" s="78">
        <v>-1</v>
      </c>
      <c r="C76" s="78" t="s">
        <v>412</v>
      </c>
      <c r="D76" s="80">
        <f>IFERROR(VLOOKUP($A76,'Balancete 2015'!$A:$D,4,0), "0")</f>
        <v>30392935.879999999</v>
      </c>
      <c r="E76" s="81"/>
      <c r="F76" s="81"/>
      <c r="G76" s="81"/>
      <c r="H76" s="80">
        <f>IFERROR(VLOOKUP($A76,'Balancete 2016'!$A:$D,4,0), "0")</f>
        <v>37404565.130000003</v>
      </c>
      <c r="J76" s="57"/>
      <c r="K76" s="58"/>
      <c r="L76" s="58"/>
      <c r="M76" s="59"/>
    </row>
    <row r="77" spans="1:13">
      <c r="A77" s="84" t="s">
        <v>413</v>
      </c>
      <c r="B77" s="78">
        <v>0</v>
      </c>
      <c r="C77" s="78" t="s">
        <v>414</v>
      </c>
      <c r="D77" s="80">
        <f>IFERROR(VLOOKUP($A77,'Balancete 2015'!$A:$D,4,0), "0")</f>
        <v>1010953.34</v>
      </c>
      <c r="E77" s="81"/>
      <c r="F77" s="81"/>
      <c r="G77" s="81"/>
      <c r="H77" s="80">
        <f>IFERROR(VLOOKUP($A77,'Balancete 2016'!$A:$D,4,0), "0")</f>
        <v>1010953.34</v>
      </c>
      <c r="J77" s="57"/>
      <c r="K77" s="58"/>
      <c r="L77" s="58"/>
      <c r="M77" s="59"/>
    </row>
    <row r="78" spans="1:13">
      <c r="A78" s="84" t="s">
        <v>722</v>
      </c>
      <c r="B78" s="78"/>
      <c r="C78" s="59" t="s">
        <v>723</v>
      </c>
      <c r="D78" s="80"/>
      <c r="E78" s="81"/>
      <c r="F78" s="81"/>
      <c r="G78" s="81"/>
      <c r="H78" s="80" t="str">
        <f>IFERROR(VLOOKUP($A78,'Balancete 2016'!$A:$D,4,0), "0")</f>
        <v>0</v>
      </c>
      <c r="J78" s="57"/>
      <c r="K78" s="58"/>
      <c r="L78" s="58"/>
      <c r="M78" s="59"/>
    </row>
    <row r="79" spans="1:13">
      <c r="A79" s="84" t="s">
        <v>623</v>
      </c>
      <c r="B79" s="78">
        <v>6</v>
      </c>
      <c r="C79" s="78" t="s">
        <v>624</v>
      </c>
      <c r="D79" s="80" t="str">
        <f>IFERROR(VLOOKUP($A79,'Balancete 2015'!$A:$D,4,0), "0")</f>
        <v>0</v>
      </c>
      <c r="E79" s="81"/>
      <c r="F79" s="81"/>
      <c r="G79" s="81"/>
      <c r="H79" s="80" t="str">
        <f>IFERROR(VLOOKUP($A79,'Balancete 2016'!$A:$D,4,0), "0")</f>
        <v>0</v>
      </c>
      <c r="J79" s="57"/>
      <c r="K79" s="58"/>
      <c r="L79" s="58"/>
      <c r="M79" s="59"/>
    </row>
    <row r="80" spans="1:13">
      <c r="A80" s="84" t="s">
        <v>690</v>
      </c>
      <c r="B80" s="78">
        <v>0</v>
      </c>
      <c r="C80" s="78" t="s">
        <v>691</v>
      </c>
      <c r="D80" s="80">
        <f>IFERROR(VLOOKUP($A80,'Balancete 2015'!$A:$D,4,0), "0")</f>
        <v>3536300</v>
      </c>
      <c r="E80" s="81"/>
      <c r="F80" s="81"/>
      <c r="G80" s="81"/>
      <c r="H80" s="80">
        <f>IFERROR(VLOOKUP($A80,'Balancete 2016'!$A:$D,4,0), "0")</f>
        <v>3536300</v>
      </c>
      <c r="J80" s="57"/>
      <c r="K80" s="58"/>
      <c r="L80" s="58"/>
      <c r="M80" s="59"/>
    </row>
    <row r="81" spans="1:13">
      <c r="A81" s="84" t="s">
        <v>692</v>
      </c>
      <c r="B81" s="78">
        <v>8</v>
      </c>
      <c r="C81" s="78" t="s">
        <v>693</v>
      </c>
      <c r="D81" s="80" t="str">
        <f>IFERROR(VLOOKUP($A81,'Balancete 2015'!$A:$D,4,0), "0")</f>
        <v>0</v>
      </c>
      <c r="E81" s="81"/>
      <c r="F81" s="81"/>
      <c r="G81" s="81"/>
      <c r="H81" s="80" t="str">
        <f>IFERROR(VLOOKUP($A81,'Balancete 2016'!$A:$D,4,0), "0")</f>
        <v>0</v>
      </c>
      <c r="J81" s="57"/>
      <c r="K81" s="58"/>
      <c r="L81" s="58"/>
      <c r="M81" s="59"/>
    </row>
    <row r="82" spans="1:13">
      <c r="A82" s="84" t="s">
        <v>745</v>
      </c>
      <c r="B82" s="78"/>
      <c r="C82" s="78" t="s">
        <v>784</v>
      </c>
      <c r="D82" s="80"/>
      <c r="E82" s="81"/>
      <c r="F82" s="81"/>
      <c r="G82" s="81"/>
      <c r="H82" s="80" t="str">
        <f>IFERROR(VLOOKUP($A82,'Balancete 2016'!$A:$D,4,0), "0")</f>
        <v>0</v>
      </c>
      <c r="J82" s="57"/>
      <c r="K82" s="58"/>
      <c r="L82" s="58"/>
      <c r="M82" s="59"/>
    </row>
    <row r="83" spans="1:13">
      <c r="A83" s="84" t="s">
        <v>744</v>
      </c>
      <c r="B83" s="78"/>
      <c r="C83" s="78" t="s">
        <v>785</v>
      </c>
      <c r="D83" s="80"/>
      <c r="E83" s="81"/>
      <c r="F83" s="81"/>
      <c r="G83" s="81"/>
      <c r="H83" s="80" t="str">
        <f>IFERROR(VLOOKUP($A83,'Balancete 2016'!$A:$D,4,0), "0")</f>
        <v>0</v>
      </c>
      <c r="J83" s="57"/>
      <c r="K83" s="58"/>
      <c r="L83" s="58"/>
      <c r="M83" s="59"/>
    </row>
    <row r="84" spans="1:13">
      <c r="A84" s="84" t="s">
        <v>285</v>
      </c>
      <c r="B84" s="78">
        <v>-4</v>
      </c>
      <c r="C84" s="78" t="s">
        <v>415</v>
      </c>
      <c r="D84" s="80">
        <f>IFERROR(VLOOKUP($A84,'Balancete 2015'!$A:$D,4,0), "0")</f>
        <v>79281286</v>
      </c>
      <c r="E84" s="81"/>
      <c r="F84" s="81"/>
      <c r="G84" s="81"/>
      <c r="H84" s="80">
        <f>IFERROR(VLOOKUP($A84,'Balancete 2016'!$A:$D,4,0), "0")</f>
        <v>79281286</v>
      </c>
      <c r="J84" s="57"/>
      <c r="K84" s="58"/>
      <c r="L84" s="58"/>
      <c r="M84" s="59"/>
    </row>
    <row r="85" spans="1:13">
      <c r="A85" s="84" t="s">
        <v>286</v>
      </c>
      <c r="B85" s="78">
        <v>-2</v>
      </c>
      <c r="C85" s="78" t="s">
        <v>416</v>
      </c>
      <c r="D85" s="80">
        <f>IFERROR(VLOOKUP($A85,'Balancete 2015'!$A:$D,4,0), "0")</f>
        <v>79281286</v>
      </c>
      <c r="E85" s="81"/>
      <c r="F85" s="81"/>
      <c r="G85" s="81"/>
      <c r="H85" s="80">
        <f>IFERROR(VLOOKUP($A85,'Balancete 2016'!$A:$D,4,0), "0")</f>
        <v>79281286</v>
      </c>
      <c r="J85" s="57"/>
      <c r="K85" s="58"/>
      <c r="L85" s="58"/>
      <c r="M85" s="59"/>
    </row>
    <row r="86" spans="1:13">
      <c r="A86" s="84" t="s">
        <v>724</v>
      </c>
      <c r="B86" s="78">
        <v>0</v>
      </c>
      <c r="C86" s="78" t="s">
        <v>725</v>
      </c>
      <c r="D86" s="80"/>
      <c r="E86" s="81"/>
      <c r="F86" s="81"/>
      <c r="G86" s="81"/>
      <c r="H86" s="80" t="str">
        <f>IFERROR(VLOOKUP($A86,'Balancete 2016'!$A:$D,4,0), "0")</f>
        <v>0</v>
      </c>
      <c r="J86" s="57"/>
      <c r="K86" s="58"/>
      <c r="L86" s="58"/>
      <c r="M86" s="59"/>
    </row>
    <row r="87" spans="1:13">
      <c r="A87" s="84" t="s">
        <v>747</v>
      </c>
      <c r="B87" s="78">
        <v>9</v>
      </c>
      <c r="C87" s="78" t="s">
        <v>748</v>
      </c>
      <c r="D87" s="80"/>
      <c r="E87" s="81"/>
      <c r="F87" s="81"/>
      <c r="G87" s="81"/>
      <c r="H87" s="80" t="str">
        <f>IFERROR(VLOOKUP($A87,'Balancete 2016'!$A:$D,4,0), "0")</f>
        <v>0</v>
      </c>
      <c r="J87" s="57"/>
      <c r="K87" s="58"/>
      <c r="L87" s="58"/>
      <c r="M87" s="59"/>
    </row>
    <row r="88" spans="1:13">
      <c r="A88" s="84" t="s">
        <v>287</v>
      </c>
      <c r="B88" s="78">
        <v>-7</v>
      </c>
      <c r="C88" s="78" t="s">
        <v>417</v>
      </c>
      <c r="D88" s="80">
        <f>IFERROR(VLOOKUP($A88,'Balancete 2015'!$A:$D,4,0), "0")</f>
        <v>123776796</v>
      </c>
      <c r="E88" s="81"/>
      <c r="F88" s="81"/>
      <c r="G88" s="81"/>
      <c r="H88" s="80">
        <f>IFERROR(VLOOKUP($A88,'Balancete 2016'!$A:$D,4,0), "0")</f>
        <v>104734212</v>
      </c>
      <c r="J88" s="57"/>
      <c r="K88" s="58"/>
      <c r="L88" s="58"/>
      <c r="M88" s="59"/>
    </row>
    <row r="89" spans="1:13">
      <c r="A89" s="84" t="s">
        <v>288</v>
      </c>
      <c r="B89" s="78">
        <v>-5</v>
      </c>
      <c r="C89" s="78" t="s">
        <v>418</v>
      </c>
      <c r="D89" s="80">
        <f>IFERROR(VLOOKUP($A89,'Balancete 2015'!$A:$D,4,0), "0")</f>
        <v>190425840</v>
      </c>
      <c r="E89" s="81"/>
      <c r="F89" s="81"/>
      <c r="G89" s="81"/>
      <c r="H89" s="80">
        <f>IFERROR(VLOOKUP($A89,'Balancete 2016'!$A:$D,4,0), "0")</f>
        <v>190425840</v>
      </c>
      <c r="J89" s="57"/>
      <c r="K89" s="58"/>
      <c r="L89" s="58"/>
      <c r="M89" s="59"/>
    </row>
    <row r="90" spans="1:13">
      <c r="A90" s="84" t="s">
        <v>289</v>
      </c>
      <c r="B90" s="78">
        <v>-3</v>
      </c>
      <c r="C90" s="78" t="s">
        <v>419</v>
      </c>
      <c r="D90" s="80">
        <f>IFERROR(VLOOKUP($A90,'Balancete 2015'!$A:$D,4,0), "0")</f>
        <v>-66649044</v>
      </c>
      <c r="E90" s="81"/>
      <c r="F90" s="81"/>
      <c r="G90" s="81"/>
      <c r="H90" s="80">
        <f>IFERROR(VLOOKUP($A90,'Balancete 2016'!$A:$D,4,0), "0")</f>
        <v>-85691628</v>
      </c>
      <c r="J90" s="57"/>
      <c r="K90" s="58"/>
      <c r="L90" s="58"/>
      <c r="M90" s="59"/>
    </row>
    <row r="91" spans="1:13">
      <c r="A91" s="84" t="s">
        <v>749</v>
      </c>
      <c r="B91" s="78">
        <v>0</v>
      </c>
      <c r="C91" s="78" t="s">
        <v>750</v>
      </c>
      <c r="D91" s="80"/>
      <c r="E91" s="81"/>
      <c r="F91" s="81"/>
      <c r="G91" s="81"/>
      <c r="H91" s="80">
        <f>IFERROR(VLOOKUP($A91,'Balancete 2016'!$A:$D,4,0), "0")</f>
        <v>62580998.619999997</v>
      </c>
      <c r="J91" s="57"/>
      <c r="K91" s="58"/>
      <c r="L91" s="58"/>
      <c r="M91" s="59"/>
    </row>
    <row r="92" spans="1:13">
      <c r="A92" s="84" t="s">
        <v>751</v>
      </c>
      <c r="B92" s="78">
        <v>8</v>
      </c>
      <c r="C92" s="78" t="s">
        <v>752</v>
      </c>
      <c r="D92" s="80"/>
      <c r="E92" s="81"/>
      <c r="F92" s="81"/>
      <c r="G92" s="81"/>
      <c r="H92" s="80">
        <f>IFERROR(VLOOKUP($A92,'Balancete 2016'!$A:$D,4,0), "0")</f>
        <v>66011000</v>
      </c>
      <c r="J92" s="57"/>
      <c r="K92" s="58"/>
      <c r="L92" s="58"/>
      <c r="M92" s="59"/>
    </row>
    <row r="93" spans="1:13">
      <c r="A93" s="84" t="s">
        <v>753</v>
      </c>
      <c r="B93" s="78">
        <v>6</v>
      </c>
      <c r="C93" s="78" t="s">
        <v>746</v>
      </c>
      <c r="D93" s="80"/>
      <c r="E93" s="81"/>
      <c r="F93" s="81"/>
      <c r="G93" s="81"/>
      <c r="H93" s="80">
        <f>IFERROR(VLOOKUP($A93,'Balancete 2016'!$A:$D,4,0), "0")</f>
        <v>-3430001.38</v>
      </c>
      <c r="J93" s="57"/>
      <c r="K93" s="58"/>
      <c r="L93" s="58"/>
      <c r="M93" s="59"/>
    </row>
    <row r="94" spans="1:13">
      <c r="A94" s="77" t="s">
        <v>1017</v>
      </c>
      <c r="B94" s="78">
        <v>0</v>
      </c>
      <c r="C94" s="103" t="s">
        <v>1018</v>
      </c>
      <c r="D94" s="80"/>
      <c r="E94" s="81"/>
      <c r="F94" s="81"/>
      <c r="G94" s="81"/>
      <c r="H94" s="80">
        <f>IFERROR(VLOOKUP($A94,'Balancete 2016'!$A:$D,4,0), "0")</f>
        <v>-34475887.07</v>
      </c>
      <c r="J94" s="57"/>
      <c r="K94" s="58"/>
      <c r="L94" s="58"/>
      <c r="M94" s="59"/>
    </row>
    <row r="95" spans="1:13">
      <c r="A95" s="77" t="s">
        <v>1019</v>
      </c>
      <c r="B95" s="78">
        <v>-4</v>
      </c>
      <c r="C95" s="103" t="s">
        <v>1020</v>
      </c>
      <c r="D95" s="80"/>
      <c r="E95" s="81"/>
      <c r="F95" s="81"/>
      <c r="G95" s="81"/>
      <c r="H95" s="80">
        <f>IFERROR(VLOOKUP($A95,'Balancete 2016'!$A:$D,4,0), "0")</f>
        <v>-34475887.07</v>
      </c>
      <c r="J95" s="57"/>
      <c r="K95" s="58"/>
      <c r="L95" s="58"/>
      <c r="M95" s="59"/>
    </row>
    <row r="96" spans="1:13">
      <c r="A96" s="77" t="s">
        <v>1021</v>
      </c>
      <c r="B96" s="78">
        <v>-9</v>
      </c>
      <c r="C96" s="103" t="s">
        <v>1022</v>
      </c>
      <c r="D96" s="80"/>
      <c r="E96" s="81"/>
      <c r="F96" s="81"/>
      <c r="G96" s="81"/>
      <c r="H96" s="80">
        <f>IFERROR(VLOOKUP($A96,'Balancete 2016'!$A:$D,4,0), "0")</f>
        <v>-34475887.07</v>
      </c>
      <c r="J96" s="57"/>
      <c r="K96" s="58"/>
      <c r="L96" s="58"/>
      <c r="M96" s="59"/>
    </row>
    <row r="97" spans="1:13">
      <c r="A97" s="84" t="s">
        <v>322</v>
      </c>
      <c r="B97" s="78">
        <v>-8</v>
      </c>
      <c r="C97" s="78" t="s">
        <v>33</v>
      </c>
      <c r="D97" s="80">
        <f>IFERROR(VLOOKUP($A97,'Balancete 2015'!$A:$D,4,0), "0")</f>
        <v>0</v>
      </c>
      <c r="E97" s="81">
        <v>600</v>
      </c>
      <c r="F97" s="81"/>
      <c r="G97" s="81"/>
      <c r="H97" s="80">
        <f>IFERROR(VLOOKUP($A97,'Balancete 2016'!$A:$D,4,0), "0")</f>
        <v>0</v>
      </c>
      <c r="J97" s="57"/>
      <c r="K97" s="58"/>
      <c r="L97" s="58"/>
      <c r="M97" s="59"/>
    </row>
    <row r="98" spans="1:13">
      <c r="A98" s="84" t="s">
        <v>34</v>
      </c>
      <c r="B98" s="78">
        <v>0</v>
      </c>
      <c r="C98" s="78" t="s">
        <v>35</v>
      </c>
      <c r="D98" s="80">
        <f>IFERROR(VLOOKUP($A98,'Balancete 2015'!$A:$D,4,0), "0")</f>
        <v>0</v>
      </c>
      <c r="E98" s="81"/>
      <c r="F98" s="81"/>
      <c r="G98" s="81"/>
      <c r="H98" s="80">
        <f>IFERROR(VLOOKUP($A98,'Balancete 2016'!$A:$D,4,0), "0")</f>
        <v>0</v>
      </c>
      <c r="J98" s="57"/>
      <c r="K98" s="58"/>
      <c r="L98" s="58"/>
      <c r="M98" s="59"/>
    </row>
    <row r="99" spans="1:13">
      <c r="A99" s="84" t="s">
        <v>420</v>
      </c>
      <c r="B99" s="78">
        <v>-8</v>
      </c>
      <c r="C99" s="78" t="s">
        <v>421</v>
      </c>
      <c r="D99" s="80">
        <f>IFERROR(VLOOKUP($A99,'Balancete 2015'!$A:$D,4,0), "0")</f>
        <v>1500</v>
      </c>
      <c r="E99" s="81"/>
      <c r="F99" s="81"/>
      <c r="G99" s="81"/>
      <c r="H99" s="80">
        <f>IFERROR(VLOOKUP($A99,'Balancete 2016'!$A:$D,4,0), "0")</f>
        <v>1500</v>
      </c>
      <c r="J99" s="57"/>
      <c r="K99" s="58"/>
      <c r="L99" s="58"/>
      <c r="M99" s="59"/>
    </row>
    <row r="100" spans="1:13">
      <c r="A100" s="84" t="s">
        <v>422</v>
      </c>
      <c r="B100" s="78">
        <v>0</v>
      </c>
      <c r="C100" s="78" t="s">
        <v>423</v>
      </c>
      <c r="D100" s="80">
        <f>IFERROR(VLOOKUP($A100,'Balancete 2015'!$A:$D,4,0), "0")</f>
        <v>1500</v>
      </c>
      <c r="E100" s="81"/>
      <c r="F100" s="81"/>
      <c r="G100" s="81"/>
      <c r="H100" s="80">
        <f>IFERROR(VLOOKUP($A100,'Balancete 2016'!$A:$D,4,0), "0")</f>
        <v>1500</v>
      </c>
      <c r="J100" s="57"/>
      <c r="K100" s="58"/>
      <c r="L100" s="58"/>
      <c r="M100" s="59"/>
    </row>
    <row r="101" spans="1:13">
      <c r="A101" s="84" t="s">
        <v>424</v>
      </c>
      <c r="B101" s="78">
        <v>-9</v>
      </c>
      <c r="C101" s="78" t="s">
        <v>423</v>
      </c>
      <c r="D101" s="80">
        <f>IFERROR(VLOOKUP($A101,'Balancete 2015'!$A:$D,4,0), "0")</f>
        <v>1500</v>
      </c>
      <c r="E101" s="81"/>
      <c r="F101" s="81"/>
      <c r="G101" s="81"/>
      <c r="H101" s="80">
        <f>IFERROR(VLOOKUP($A101,'Balancete 2016'!$A:$D,4,0), "0")</f>
        <v>1500</v>
      </c>
      <c r="J101" s="57"/>
      <c r="K101" s="58"/>
      <c r="L101" s="58"/>
      <c r="M101" s="59"/>
    </row>
    <row r="102" spans="1:13">
      <c r="A102" s="84" t="s">
        <v>36</v>
      </c>
      <c r="B102" s="78">
        <v>-4</v>
      </c>
      <c r="C102" s="78" t="s">
        <v>37</v>
      </c>
      <c r="D102" s="80">
        <f>IFERROR(VLOOKUP($A102,'Balancete 2015'!$A:$D,4,0), "0")</f>
        <v>-1500</v>
      </c>
      <c r="E102" s="81"/>
      <c r="F102" s="81"/>
      <c r="G102" s="81"/>
      <c r="H102" s="80">
        <f>IFERROR(VLOOKUP($A102,'Balancete 2016'!$A:$D,4,0), "0")</f>
        <v>-1500</v>
      </c>
      <c r="J102" s="57"/>
      <c r="K102" s="58"/>
      <c r="L102" s="58"/>
      <c r="M102" s="59"/>
    </row>
    <row r="103" spans="1:13">
      <c r="A103" s="84" t="s">
        <v>38</v>
      </c>
      <c r="B103" s="78">
        <v>0</v>
      </c>
      <c r="C103" s="78" t="s">
        <v>425</v>
      </c>
      <c r="D103" s="80">
        <f>IFERROR(VLOOKUP($A103,'Balancete 2015'!$A:$D,4,0), "0")</f>
        <v>-1500</v>
      </c>
      <c r="E103" s="81"/>
      <c r="F103" s="81"/>
      <c r="G103" s="81"/>
      <c r="H103" s="80">
        <f>IFERROR(VLOOKUP($A103,'Balancete 2016'!$A:$D,4,0), "0")</f>
        <v>-1500</v>
      </c>
      <c r="J103" s="57"/>
      <c r="K103" s="58"/>
      <c r="L103" s="58"/>
      <c r="M103" s="59"/>
    </row>
    <row r="104" spans="1:13">
      <c r="A104" s="84" t="s">
        <v>39</v>
      </c>
      <c r="B104" s="78">
        <v>-4</v>
      </c>
      <c r="C104" s="78" t="s">
        <v>426</v>
      </c>
      <c r="D104" s="80">
        <f>IFERROR(VLOOKUP($A104,'Balancete 2015'!$A:$D,4,0), "0")</f>
        <v>-1500</v>
      </c>
      <c r="E104" s="81"/>
      <c r="F104" s="81"/>
      <c r="G104" s="81"/>
      <c r="H104" s="80">
        <f>IFERROR(VLOOKUP($A104,'Balancete 2016'!$A:$D,4,0), "0")</f>
        <v>-1500</v>
      </c>
      <c r="J104" s="57"/>
      <c r="K104" s="58"/>
      <c r="L104" s="58"/>
      <c r="M104" s="59"/>
    </row>
    <row r="105" spans="1:13">
      <c r="A105" s="84">
        <v>4</v>
      </c>
      <c r="B105" s="78">
        <v>-6</v>
      </c>
      <c r="C105" s="78" t="s">
        <v>345</v>
      </c>
      <c r="D105" s="80">
        <f>IFERROR(VLOOKUP($A105,'Balancete 2015'!$A:$D,4,0), "0")</f>
        <v>707626443.39999998</v>
      </c>
      <c r="E105" s="81"/>
      <c r="F105" s="81"/>
      <c r="G105" s="81"/>
      <c r="H105" s="80">
        <f>IFERROR(VLOOKUP($A105,'Balancete 2016'!$A:$D,4,0), "0")</f>
        <v>289788546.97000003</v>
      </c>
      <c r="J105" s="57"/>
      <c r="K105" s="58"/>
      <c r="L105" s="58"/>
      <c r="M105" s="59"/>
    </row>
    <row r="106" spans="1:13">
      <c r="A106" s="84" t="s">
        <v>158</v>
      </c>
      <c r="B106" s="78">
        <v>-1</v>
      </c>
      <c r="C106" s="78" t="s">
        <v>159</v>
      </c>
      <c r="D106" s="80">
        <f>IFERROR(VLOOKUP($A106,'Balancete 2015'!$A:$D,4,0), "0")</f>
        <v>707626443.39999998</v>
      </c>
      <c r="E106" s="81"/>
      <c r="F106" s="81"/>
      <c r="G106" s="81"/>
      <c r="H106" s="80">
        <f>IFERROR(VLOOKUP($A106,'Balancete 2016'!$A:$D,4,0), "0")</f>
        <v>289788546.97000003</v>
      </c>
      <c r="J106" s="57"/>
      <c r="K106" s="58"/>
      <c r="L106" s="58"/>
      <c r="M106" s="59"/>
    </row>
    <row r="107" spans="1:13">
      <c r="A107" s="84" t="s">
        <v>323</v>
      </c>
      <c r="B107" s="78">
        <v>-6</v>
      </c>
      <c r="C107" s="78" t="s">
        <v>308</v>
      </c>
      <c r="D107" s="80">
        <f>IFERROR(VLOOKUP($A107,'Balancete 2015'!$A:$D,4,0), "0")</f>
        <v>16458998.84</v>
      </c>
      <c r="E107" s="81"/>
      <c r="F107" s="81"/>
      <c r="G107" s="81"/>
      <c r="H107" s="80" t="str">
        <f>IFERROR(VLOOKUP($A107,'Balancete 2016'!$A:$D,4,0), "0")</f>
        <v>0</v>
      </c>
      <c r="J107" s="57"/>
      <c r="K107" s="58"/>
      <c r="L107" s="58"/>
      <c r="M107" s="59"/>
    </row>
    <row r="108" spans="1:13">
      <c r="A108" s="84" t="s">
        <v>309</v>
      </c>
      <c r="B108" s="78">
        <v>0</v>
      </c>
      <c r="C108" s="78" t="s">
        <v>310</v>
      </c>
      <c r="D108" s="80">
        <f>IFERROR(VLOOKUP($A108,'Balancete 2015'!$A:$D,4,0), "0")</f>
        <v>16458998.84</v>
      </c>
      <c r="E108" s="81"/>
      <c r="F108" s="81"/>
      <c r="G108" s="81"/>
      <c r="H108" s="80" t="str">
        <f>IFERROR(VLOOKUP($A108,'Balancete 2016'!$A:$D,4,0), "0")</f>
        <v>0</v>
      </c>
      <c r="J108" s="57"/>
      <c r="K108" s="58"/>
      <c r="L108" s="58"/>
      <c r="M108" s="59"/>
    </row>
    <row r="109" spans="1:13">
      <c r="A109" s="84" t="s">
        <v>311</v>
      </c>
      <c r="B109" s="78">
        <v>-1</v>
      </c>
      <c r="C109" s="78" t="s">
        <v>312</v>
      </c>
      <c r="D109" s="80">
        <f>IFERROR(VLOOKUP($A109,'Balancete 2015'!$A:$D,4,0), "0")</f>
        <v>16458998.84</v>
      </c>
      <c r="E109" s="81"/>
      <c r="F109" s="81"/>
      <c r="G109" s="81"/>
      <c r="H109" s="80" t="str">
        <f>IFERROR(VLOOKUP($A109,'Balancete 2016'!$A:$D,4,0), "0")</f>
        <v>0</v>
      </c>
      <c r="J109" s="57"/>
      <c r="K109" s="58"/>
      <c r="L109" s="58"/>
      <c r="M109" s="59"/>
    </row>
    <row r="110" spans="1:13">
      <c r="A110" s="84" t="s">
        <v>247</v>
      </c>
      <c r="B110" s="78">
        <v>0</v>
      </c>
      <c r="C110" s="78" t="s">
        <v>313</v>
      </c>
      <c r="D110" s="80">
        <f>IFERROR(VLOOKUP($A110,'Balancete 2015'!$A:$D,4,0), "0")</f>
        <v>16458998.84</v>
      </c>
      <c r="E110" s="81">
        <v>700</v>
      </c>
      <c r="F110" s="81"/>
      <c r="G110" s="81"/>
      <c r="H110" s="80" t="str">
        <f>IFERROR(VLOOKUP($A110,'Balancete 2016'!$A:$D,4,0), "0")</f>
        <v>0</v>
      </c>
      <c r="J110" s="57"/>
      <c r="K110" s="58"/>
      <c r="L110" s="58"/>
      <c r="M110" s="59"/>
    </row>
    <row r="111" spans="1:13">
      <c r="A111" s="84" t="s">
        <v>160</v>
      </c>
      <c r="B111" s="78">
        <v>-4</v>
      </c>
      <c r="C111" s="78" t="s">
        <v>161</v>
      </c>
      <c r="D111" s="80">
        <f>IFERROR(VLOOKUP($A111,'Balancete 2015'!$A:$D,4,0), "0")</f>
        <v>270556978.81999999</v>
      </c>
      <c r="E111" s="81"/>
      <c r="F111" s="81"/>
      <c r="G111" s="81"/>
      <c r="H111" s="80">
        <f>IFERROR(VLOOKUP($A111,'Balancete 2016'!$A:$D,4,0), "0")</f>
        <v>278598885.00999999</v>
      </c>
      <c r="J111" s="57"/>
      <c r="K111" s="58"/>
      <c r="L111" s="58"/>
      <c r="M111" s="59"/>
    </row>
    <row r="112" spans="1:13">
      <c r="A112" s="84" t="s">
        <v>324</v>
      </c>
      <c r="B112" s="78">
        <v>-8</v>
      </c>
      <c r="C112" s="78" t="s">
        <v>518</v>
      </c>
      <c r="D112" s="80">
        <f>IFERROR(VLOOKUP($A112,'Balancete 2015'!$A:$D,4,0), "0")</f>
        <v>6497213.3200000003</v>
      </c>
      <c r="E112" s="81"/>
      <c r="F112" s="81"/>
      <c r="G112" s="81"/>
      <c r="H112" s="80">
        <f>IFERROR(VLOOKUP($A112,'Balancete 2016'!$A:$D,4,0), "0")</f>
        <v>15529826.710000001</v>
      </c>
      <c r="J112" s="57"/>
      <c r="K112" s="58"/>
      <c r="L112" s="58"/>
      <c r="M112" s="59"/>
    </row>
    <row r="113" spans="1:13">
      <c r="A113" s="84" t="s">
        <v>162</v>
      </c>
      <c r="B113" s="78">
        <v>0</v>
      </c>
      <c r="C113" s="78" t="s">
        <v>519</v>
      </c>
      <c r="D113" s="80">
        <f>IFERROR(VLOOKUP($A113,'Balancete 2015'!$A:$D,4,0), "0")</f>
        <v>6497213.3200000003</v>
      </c>
      <c r="E113" s="81">
        <v>800</v>
      </c>
      <c r="F113" s="81"/>
      <c r="G113" s="81"/>
      <c r="H113" s="80">
        <f>IFERROR(VLOOKUP($A113,'Balancete 2016'!$A:$D,4,0), "0")</f>
        <v>15529826.710000001</v>
      </c>
      <c r="J113" s="57"/>
      <c r="K113" s="58"/>
      <c r="L113" s="58"/>
      <c r="M113" s="59"/>
    </row>
    <row r="114" spans="1:13">
      <c r="A114" s="84" t="s">
        <v>301</v>
      </c>
      <c r="B114" s="78">
        <v>-8</v>
      </c>
      <c r="C114" s="78" t="s">
        <v>520</v>
      </c>
      <c r="D114" s="80">
        <f>IFERROR(VLOOKUP($A114,'Balancete 2015'!$A:$D,4,0), "0")</f>
        <v>5907551.6799999997</v>
      </c>
      <c r="E114" s="81"/>
      <c r="F114" s="81"/>
      <c r="G114" s="81"/>
      <c r="H114" s="80">
        <f>IFERROR(VLOOKUP($A114,'Balancete 2016'!$A:$D,4,0), "0")</f>
        <v>15043056.390000001</v>
      </c>
      <c r="J114" s="57"/>
      <c r="K114" s="58"/>
      <c r="L114" s="58"/>
      <c r="M114" s="59"/>
    </row>
    <row r="115" spans="1:13">
      <c r="A115" s="84" t="s">
        <v>163</v>
      </c>
      <c r="B115" s="78">
        <v>-6</v>
      </c>
      <c r="C115" s="78" t="s">
        <v>521</v>
      </c>
      <c r="D115" s="80">
        <f>IFERROR(VLOOKUP($A115,'Balancete 2015'!$A:$D,4,0), "0")</f>
        <v>60830.99</v>
      </c>
      <c r="E115" s="81"/>
      <c r="F115" s="81"/>
      <c r="G115" s="81"/>
      <c r="H115" s="80" t="str">
        <f>IFERROR(VLOOKUP($A115,'Balancete 2016'!$A:$D,4,0), "0")</f>
        <v>0</v>
      </c>
      <c r="J115" s="57"/>
      <c r="K115" s="58"/>
      <c r="L115" s="58"/>
      <c r="M115" s="59"/>
    </row>
    <row r="116" spans="1:13">
      <c r="A116" s="84" t="s">
        <v>164</v>
      </c>
      <c r="B116" s="78">
        <v>-4</v>
      </c>
      <c r="C116" s="78" t="s">
        <v>522</v>
      </c>
      <c r="D116" s="80">
        <f>IFERROR(VLOOKUP($A116,'Balancete 2015'!$A:$D,4,0), "0")</f>
        <v>450090.45</v>
      </c>
      <c r="E116" s="81"/>
      <c r="F116" s="81"/>
      <c r="G116" s="81"/>
      <c r="H116" s="80">
        <f>IFERROR(VLOOKUP($A116,'Balancete 2016'!$A:$D,4,0), "0")</f>
        <v>418292.25</v>
      </c>
      <c r="J116" s="57"/>
      <c r="K116" s="58"/>
      <c r="L116" s="58"/>
      <c r="M116" s="59"/>
    </row>
    <row r="117" spans="1:13">
      <c r="A117" s="84" t="s">
        <v>165</v>
      </c>
      <c r="B117" s="78">
        <v>-2</v>
      </c>
      <c r="C117" s="78" t="s">
        <v>523</v>
      </c>
      <c r="D117" s="80">
        <f>IFERROR(VLOOKUP($A117,'Balancete 2015'!$A:$D,4,0), "0")</f>
        <v>78740.2</v>
      </c>
      <c r="E117" s="81"/>
      <c r="F117" s="81"/>
      <c r="G117" s="81"/>
      <c r="H117" s="80">
        <f>IFERROR(VLOOKUP($A117,'Balancete 2016'!$A:$D,4,0), "0")</f>
        <v>68478.070000000007</v>
      </c>
      <c r="J117" s="57"/>
      <c r="K117" s="58"/>
      <c r="L117" s="58"/>
      <c r="M117" s="59"/>
    </row>
    <row r="118" spans="1:13">
      <c r="A118" s="84" t="s">
        <v>524</v>
      </c>
      <c r="B118" s="78">
        <v>-1</v>
      </c>
      <c r="C118" s="78" t="s">
        <v>525</v>
      </c>
      <c r="D118" s="80">
        <f>IFERROR(VLOOKUP($A118,'Balancete 2015'!$A:$D,4,0), "0")</f>
        <v>14343.75</v>
      </c>
      <c r="E118" s="81">
        <v>900</v>
      </c>
      <c r="F118" s="81"/>
      <c r="G118" s="81"/>
      <c r="H118" s="80">
        <f>IFERROR(VLOOKUP($A118,'Balancete 2016'!$A:$D,4,0), "0")</f>
        <v>77074.44</v>
      </c>
      <c r="J118" s="57"/>
      <c r="K118" s="58"/>
      <c r="L118" s="58"/>
      <c r="M118" s="59"/>
    </row>
    <row r="119" spans="1:13">
      <c r="A119" s="84" t="s">
        <v>526</v>
      </c>
      <c r="B119" s="78">
        <v>-9</v>
      </c>
      <c r="C119" s="78" t="s">
        <v>527</v>
      </c>
      <c r="D119" s="80">
        <f>IFERROR(VLOOKUP($A119,'Balancete 2015'!$A:$D,4,0), "0")</f>
        <v>14343.75</v>
      </c>
      <c r="E119" s="81"/>
      <c r="F119" s="81"/>
      <c r="G119" s="81"/>
      <c r="H119" s="80">
        <f>IFERROR(VLOOKUP($A119,'Balancete 2016'!$A:$D,4,0), "0")</f>
        <v>30184.83</v>
      </c>
      <c r="J119" s="57"/>
      <c r="K119" s="58"/>
      <c r="L119" s="58"/>
      <c r="M119" s="59"/>
    </row>
    <row r="120" spans="1:13">
      <c r="A120" s="84" t="s">
        <v>528</v>
      </c>
      <c r="B120" s="78">
        <v>-5</v>
      </c>
      <c r="C120" s="78" t="s">
        <v>529</v>
      </c>
      <c r="D120" s="80">
        <f>IFERROR(VLOOKUP($A120,'Balancete 2015'!$A:$D,4,0), "0")</f>
        <v>14343.75</v>
      </c>
      <c r="E120" s="81"/>
      <c r="F120" s="81"/>
      <c r="G120" s="81"/>
      <c r="H120" s="80">
        <f>IFERROR(VLOOKUP($A120,'Balancete 2016'!$A:$D,4,0), "0")</f>
        <v>30184.83</v>
      </c>
      <c r="J120" s="57"/>
      <c r="K120" s="58"/>
      <c r="L120" s="58"/>
      <c r="M120" s="59"/>
    </row>
    <row r="121" spans="1:13">
      <c r="A121" s="84" t="s">
        <v>768</v>
      </c>
      <c r="B121" s="78">
        <v>0</v>
      </c>
      <c r="C121" s="78" t="s">
        <v>769</v>
      </c>
      <c r="D121" s="80"/>
      <c r="E121" s="81"/>
      <c r="F121" s="81"/>
      <c r="G121" s="81"/>
      <c r="H121" s="80">
        <f>IFERROR(VLOOKUP($A121,'Balancete 2016'!$A:$D,4,0), "0")</f>
        <v>46889.61</v>
      </c>
      <c r="J121" s="57"/>
      <c r="K121" s="58"/>
      <c r="L121" s="58"/>
      <c r="M121" s="62"/>
    </row>
    <row r="122" spans="1:13">
      <c r="A122" s="84" t="s">
        <v>770</v>
      </c>
      <c r="B122" s="78">
        <v>9</v>
      </c>
      <c r="C122" s="78" t="s">
        <v>771</v>
      </c>
      <c r="D122" s="80"/>
      <c r="E122" s="81"/>
      <c r="F122" s="81"/>
      <c r="G122" s="81"/>
      <c r="H122" s="80">
        <f>IFERROR(VLOOKUP($A122,'Balancete 2016'!$A:$D,4,0), "0")</f>
        <v>11436.49</v>
      </c>
      <c r="J122" s="57"/>
      <c r="K122" s="58"/>
      <c r="L122" s="58"/>
      <c r="M122" s="62"/>
    </row>
    <row r="123" spans="1:13">
      <c r="A123" s="84" t="s">
        <v>772</v>
      </c>
      <c r="B123" s="78">
        <v>8</v>
      </c>
      <c r="C123" s="78" t="s">
        <v>773</v>
      </c>
      <c r="D123" s="80"/>
      <c r="E123" s="81"/>
      <c r="F123" s="81"/>
      <c r="G123" s="81"/>
      <c r="H123" s="80">
        <f>IFERROR(VLOOKUP($A123,'Balancete 2016'!$A:$D,4,0), "0")</f>
        <v>7624.33</v>
      </c>
      <c r="J123" s="57"/>
      <c r="K123" s="58"/>
      <c r="L123" s="58"/>
      <c r="M123" s="62"/>
    </row>
    <row r="124" spans="1:13">
      <c r="A124" s="84" t="s">
        <v>774</v>
      </c>
      <c r="B124" s="78">
        <v>6</v>
      </c>
      <c r="C124" s="78" t="s">
        <v>775</v>
      </c>
      <c r="D124" s="80"/>
      <c r="E124" s="81"/>
      <c r="F124" s="81"/>
      <c r="G124" s="81"/>
      <c r="H124" s="80">
        <f>IFERROR(VLOOKUP($A124,'Balancete 2016'!$A:$D,4,0), "0")</f>
        <v>22872.98</v>
      </c>
      <c r="J124" s="57"/>
      <c r="K124" s="58"/>
      <c r="L124" s="58"/>
      <c r="M124" s="62"/>
    </row>
    <row r="125" spans="1:13">
      <c r="A125" s="84" t="s">
        <v>776</v>
      </c>
      <c r="B125" s="78">
        <v>4</v>
      </c>
      <c r="C125" s="78" t="s">
        <v>777</v>
      </c>
      <c r="D125" s="80"/>
      <c r="E125" s="81"/>
      <c r="F125" s="81"/>
      <c r="G125" s="81"/>
      <c r="H125" s="80">
        <f>IFERROR(VLOOKUP($A125,'Balancete 2016'!$A:$D,4,0), "0")</f>
        <v>4955.8100000000004</v>
      </c>
      <c r="J125" s="57"/>
      <c r="K125" s="58"/>
      <c r="L125" s="58"/>
      <c r="M125" s="62"/>
    </row>
    <row r="126" spans="1:13">
      <c r="A126" s="84" t="s">
        <v>326</v>
      </c>
      <c r="B126" s="78">
        <v>-5</v>
      </c>
      <c r="C126" s="78" t="s">
        <v>530</v>
      </c>
      <c r="D126" s="80">
        <f>IFERROR(VLOOKUP($A126,'Balancete 2015'!$A:$D,4,0), "0")</f>
        <v>264045421.75</v>
      </c>
      <c r="E126" s="81">
        <v>910</v>
      </c>
      <c r="F126" s="81"/>
      <c r="G126" s="81"/>
      <c r="H126" s="80">
        <f>IFERROR(VLOOKUP($A126,'Balancete 2016'!$A:$D,4,0), "0")</f>
        <v>262991983.86000001</v>
      </c>
      <c r="J126" s="57"/>
      <c r="K126" s="58"/>
      <c r="L126" s="58"/>
      <c r="M126" s="59"/>
    </row>
    <row r="127" spans="1:13">
      <c r="A127" s="84" t="s">
        <v>166</v>
      </c>
      <c r="B127" s="78">
        <v>-1</v>
      </c>
      <c r="C127" s="78" t="s">
        <v>167</v>
      </c>
      <c r="D127" s="80">
        <f>IFERROR(VLOOKUP($A127,'Balancete 2015'!$A:$D,4,0), "0")</f>
        <v>264045421.75</v>
      </c>
      <c r="E127" s="81"/>
      <c r="F127" s="81"/>
      <c r="G127" s="81"/>
      <c r="H127" s="80">
        <f>IFERROR(VLOOKUP($A127,'Balancete 2016'!$A:$D,4,0), "0")</f>
        <v>262991983.86000001</v>
      </c>
      <c r="J127" s="57"/>
      <c r="K127" s="58"/>
      <c r="L127" s="58"/>
      <c r="M127" s="59"/>
    </row>
    <row r="128" spans="1:13">
      <c r="A128" s="84" t="s">
        <v>168</v>
      </c>
      <c r="B128" s="78">
        <v>0</v>
      </c>
      <c r="C128" s="78" t="s">
        <v>531</v>
      </c>
      <c r="D128" s="80">
        <f>IFERROR(VLOOKUP($A128,'Balancete 2015'!$A:$D,4,0), "0")</f>
        <v>203144782.16</v>
      </c>
      <c r="E128" s="81"/>
      <c r="F128" s="81"/>
      <c r="G128" s="81"/>
      <c r="H128" s="80">
        <f>IFERROR(VLOOKUP($A128,'Balancete 2016'!$A:$D,4,0), "0")</f>
        <v>202334313.97999999</v>
      </c>
      <c r="J128" s="57"/>
      <c r="K128" s="58"/>
      <c r="L128" s="58"/>
      <c r="M128" s="59"/>
    </row>
    <row r="129" spans="1:13">
      <c r="A129" s="84" t="s">
        <v>169</v>
      </c>
      <c r="B129" s="78">
        <v>-8</v>
      </c>
      <c r="C129" s="78" t="s">
        <v>532</v>
      </c>
      <c r="D129" s="80">
        <f>IFERROR(VLOOKUP($A129,'Balancete 2015'!$A:$D,4,0), "0")</f>
        <v>60900639.590000004</v>
      </c>
      <c r="E129" s="81"/>
      <c r="F129" s="81"/>
      <c r="G129" s="81"/>
      <c r="H129" s="80">
        <f>IFERROR(VLOOKUP($A129,'Balancete 2016'!$A:$D,4,0), "0")</f>
        <v>60657669.880000003</v>
      </c>
      <c r="J129" s="57"/>
      <c r="K129" s="58"/>
      <c r="L129" s="58"/>
      <c r="M129" s="59"/>
    </row>
    <row r="130" spans="1:13">
      <c r="A130" s="84" t="s">
        <v>325</v>
      </c>
      <c r="B130" s="78">
        <v>-5</v>
      </c>
      <c r="C130" s="78" t="s">
        <v>170</v>
      </c>
      <c r="D130" s="80">
        <f>IFERROR(VLOOKUP($A130,'Balancete 2015'!$A:$D,4,0), "0")</f>
        <v>420610465.74000001</v>
      </c>
      <c r="E130" s="81">
        <v>920</v>
      </c>
      <c r="F130" s="81"/>
      <c r="G130" s="81"/>
      <c r="H130" s="80">
        <f>IFERROR(VLOOKUP($A130,'Balancete 2016'!$A:$D,4,0), "0")</f>
        <v>11189661.960000001</v>
      </c>
      <c r="J130" s="57"/>
      <c r="K130" s="58"/>
      <c r="L130" s="58"/>
      <c r="M130" s="59"/>
    </row>
    <row r="131" spans="1:13">
      <c r="A131" s="84" t="s">
        <v>171</v>
      </c>
      <c r="B131" s="78">
        <v>-6</v>
      </c>
      <c r="C131" s="78" t="s">
        <v>172</v>
      </c>
      <c r="D131" s="80">
        <f>IFERROR(VLOOKUP($A131,'Balancete 2015'!$A:$D,4,0), "0")</f>
        <v>754994.43</v>
      </c>
      <c r="E131" s="81"/>
      <c r="F131" s="81"/>
      <c r="G131" s="81"/>
      <c r="H131" s="80">
        <f>IFERROR(VLOOKUP($A131,'Balancete 2016'!$A:$D,4,0), "0")</f>
        <v>786698.77</v>
      </c>
      <c r="J131" s="57"/>
      <c r="K131" s="58"/>
      <c r="L131" s="58"/>
      <c r="M131" s="59"/>
    </row>
    <row r="132" spans="1:13">
      <c r="A132" s="84" t="s">
        <v>173</v>
      </c>
      <c r="B132" s="78">
        <v>-8</v>
      </c>
      <c r="C132" s="78" t="s">
        <v>533</v>
      </c>
      <c r="D132" s="80">
        <f>IFERROR(VLOOKUP($A132,'Balancete 2015'!$A:$D,4,0), "0")</f>
        <v>754994.43</v>
      </c>
      <c r="E132" s="81"/>
      <c r="F132" s="81"/>
      <c r="G132" s="81"/>
      <c r="H132" s="80">
        <f>IFERROR(VLOOKUP($A132,'Balancete 2016'!$A:$D,4,0), "0")</f>
        <v>786698.77</v>
      </c>
      <c r="J132" s="57"/>
      <c r="K132" s="58"/>
      <c r="L132" s="58"/>
      <c r="M132" s="59"/>
    </row>
    <row r="133" spans="1:13">
      <c r="A133" s="84" t="s">
        <v>534</v>
      </c>
      <c r="B133" s="78">
        <v>-6</v>
      </c>
      <c r="C133" s="78" t="s">
        <v>535</v>
      </c>
      <c r="D133" s="80">
        <f>IFERROR(VLOOKUP($A133,'Balancete 2015'!$A:$D,4,0), "0")</f>
        <v>150327.41</v>
      </c>
      <c r="E133" s="81"/>
      <c r="F133" s="81"/>
      <c r="G133" s="81"/>
      <c r="H133" s="80">
        <f>IFERROR(VLOOKUP($A133,'Balancete 2016'!$A:$D,4,0), "0")</f>
        <v>163934.32</v>
      </c>
      <c r="J133" s="57"/>
      <c r="K133" s="58"/>
      <c r="L133" s="58"/>
      <c r="M133" s="59"/>
    </row>
    <row r="134" spans="1:13">
      <c r="A134" s="84" t="s">
        <v>536</v>
      </c>
      <c r="B134" s="78">
        <v>-4</v>
      </c>
      <c r="C134" s="78" t="s">
        <v>537</v>
      </c>
      <c r="D134" s="80">
        <f>IFERROR(VLOOKUP($A134,'Balancete 2015'!$A:$D,4,0), "0")</f>
        <v>18039.29</v>
      </c>
      <c r="E134" s="81"/>
      <c r="F134" s="81"/>
      <c r="G134" s="81"/>
      <c r="H134" s="80">
        <f>IFERROR(VLOOKUP($A134,'Balancete 2016'!$A:$D,4,0), "0")</f>
        <v>19346.46</v>
      </c>
      <c r="J134" s="57"/>
      <c r="K134" s="58"/>
      <c r="L134" s="58"/>
      <c r="M134" s="59"/>
    </row>
    <row r="135" spans="1:13">
      <c r="A135" s="84" t="s">
        <v>538</v>
      </c>
      <c r="B135" s="78">
        <v>-2</v>
      </c>
      <c r="C135" s="78" t="s">
        <v>539</v>
      </c>
      <c r="D135" s="80">
        <f>IFERROR(VLOOKUP($A135,'Balancete 2015'!$A:$D,4,0), "0")</f>
        <v>12026.19</v>
      </c>
      <c r="E135" s="81"/>
      <c r="F135" s="81"/>
      <c r="G135" s="81"/>
      <c r="H135" s="80">
        <f>IFERROR(VLOOKUP($A135,'Balancete 2016'!$A:$D,4,0), "0")</f>
        <v>13477.59</v>
      </c>
      <c r="J135" s="57"/>
      <c r="K135" s="58"/>
      <c r="L135" s="58"/>
      <c r="M135" s="59"/>
    </row>
    <row r="136" spans="1:13">
      <c r="A136" s="84" t="s">
        <v>540</v>
      </c>
      <c r="B136" s="78">
        <v>0</v>
      </c>
      <c r="C136" s="78" t="s">
        <v>541</v>
      </c>
      <c r="D136" s="80">
        <f>IFERROR(VLOOKUP($A136,'Balancete 2015'!$A:$D,4,0), "0")</f>
        <v>30065.48</v>
      </c>
      <c r="E136" s="81"/>
      <c r="F136" s="81"/>
      <c r="G136" s="81"/>
      <c r="H136" s="80">
        <f>IFERROR(VLOOKUP($A136,'Balancete 2016'!$A:$D,4,0), "0")</f>
        <v>33562.46</v>
      </c>
      <c r="J136" s="57"/>
      <c r="K136" s="58"/>
      <c r="L136" s="58"/>
      <c r="M136" s="59"/>
    </row>
    <row r="137" spans="1:13">
      <c r="A137" s="84" t="s">
        <v>174</v>
      </c>
      <c r="B137" s="78">
        <v>-9</v>
      </c>
      <c r="C137" s="78" t="s">
        <v>542</v>
      </c>
      <c r="D137" s="80">
        <f>IFERROR(VLOOKUP($A137,'Balancete 2015'!$A:$D,4,0), "0")</f>
        <v>381563.02</v>
      </c>
      <c r="E137" s="81"/>
      <c r="F137" s="81"/>
      <c r="G137" s="81"/>
      <c r="H137" s="80">
        <f>IFERROR(VLOOKUP($A137,'Balancete 2016'!$A:$D,4,0), "0")</f>
        <v>387264.32</v>
      </c>
      <c r="J137" s="57"/>
      <c r="K137" s="58"/>
      <c r="L137" s="58"/>
      <c r="M137" s="59"/>
    </row>
    <row r="138" spans="1:13">
      <c r="A138" s="84" t="s">
        <v>175</v>
      </c>
      <c r="B138" s="78">
        <v>-7</v>
      </c>
      <c r="C138" s="78" t="s">
        <v>543</v>
      </c>
      <c r="D138" s="80">
        <f>IFERROR(VLOOKUP($A138,'Balancete 2015'!$A:$D,4,0), "0")</f>
        <v>122733.11</v>
      </c>
      <c r="E138" s="81"/>
      <c r="F138" s="81"/>
      <c r="G138" s="81"/>
      <c r="H138" s="80">
        <f>IFERROR(VLOOKUP($A138,'Balancete 2016'!$A:$D,4,0), "0")</f>
        <v>126605.87</v>
      </c>
      <c r="J138" s="57"/>
      <c r="K138" s="58"/>
      <c r="L138" s="58"/>
      <c r="M138" s="59"/>
    </row>
    <row r="139" spans="1:13">
      <c r="A139" s="84" t="s">
        <v>176</v>
      </c>
      <c r="B139" s="78">
        <v>-5</v>
      </c>
      <c r="C139" s="78" t="s">
        <v>544</v>
      </c>
      <c r="D139" s="80">
        <f>IFERROR(VLOOKUP($A139,'Balancete 2015'!$A:$D,4,0), "0")</f>
        <v>40239.93</v>
      </c>
      <c r="E139" s="81"/>
      <c r="F139" s="81"/>
      <c r="G139" s="81"/>
      <c r="H139" s="80">
        <f>IFERROR(VLOOKUP($A139,'Balancete 2016'!$A:$D,4,0), "0")</f>
        <v>42507.75</v>
      </c>
      <c r="J139" s="57"/>
      <c r="K139" s="58"/>
      <c r="L139" s="58"/>
      <c r="M139" s="59"/>
    </row>
    <row r="140" spans="1:13">
      <c r="A140" s="84" t="s">
        <v>545</v>
      </c>
      <c r="B140" s="78">
        <v>-7</v>
      </c>
      <c r="C140" s="78" t="s">
        <v>546</v>
      </c>
      <c r="D140" s="80">
        <f>IFERROR(VLOOKUP($A140,'Balancete 2015'!$A:$D,4,0), "0")</f>
        <v>5401650.9000000004</v>
      </c>
      <c r="E140" s="81"/>
      <c r="F140" s="81"/>
      <c r="G140" s="81"/>
      <c r="H140" s="80">
        <f>IFERROR(VLOOKUP($A140,'Balancete 2016'!$A:$D,4,0), "0")</f>
        <v>7880643.2300000004</v>
      </c>
      <c r="J140" s="66"/>
      <c r="K140" s="58"/>
      <c r="L140" s="58"/>
      <c r="M140" s="59"/>
    </row>
    <row r="141" spans="1:13">
      <c r="A141" s="84" t="s">
        <v>547</v>
      </c>
      <c r="B141" s="78">
        <v>-2</v>
      </c>
      <c r="C141" s="78" t="s">
        <v>546</v>
      </c>
      <c r="D141" s="80">
        <f>IFERROR(VLOOKUP($A141,'Balancete 2015'!$A:$D,4,0), "0")</f>
        <v>5401650.9000000004</v>
      </c>
      <c r="E141" s="81"/>
      <c r="F141" s="81"/>
      <c r="G141" s="81"/>
      <c r="H141" s="80" t="str">
        <f>IFERROR(VLOOKUP($A141,'Balancete 2016'!$A:$D,4,0), "0")</f>
        <v>0</v>
      </c>
      <c r="J141" s="66"/>
      <c r="K141" s="58"/>
      <c r="L141" s="58"/>
      <c r="M141" s="59"/>
    </row>
    <row r="142" spans="1:13">
      <c r="A142" s="84" t="s">
        <v>548</v>
      </c>
      <c r="B142" s="78">
        <v>-7</v>
      </c>
      <c r="C142" s="78" t="s">
        <v>549</v>
      </c>
      <c r="D142" s="80">
        <f>IFERROR(VLOOKUP($A142,'Balancete 2015'!$A:$D,4,0), "0")</f>
        <v>5401650.9000000004</v>
      </c>
      <c r="E142" s="81"/>
      <c r="F142" s="81"/>
      <c r="G142" s="81"/>
      <c r="H142" s="80" t="str">
        <f>IFERROR(VLOOKUP($A142,'Balancete 2016'!$A:$D,4,0), "0")</f>
        <v>0</v>
      </c>
      <c r="J142" s="66"/>
      <c r="K142" s="58"/>
      <c r="L142" s="58"/>
      <c r="M142" s="59"/>
    </row>
    <row r="143" spans="1:13">
      <c r="A143" s="77" t="s">
        <v>1112</v>
      </c>
      <c r="B143" s="78">
        <v>-9</v>
      </c>
      <c r="C143" s="103" t="s">
        <v>1080</v>
      </c>
      <c r="D143" s="80"/>
      <c r="E143" s="81"/>
      <c r="F143" s="81"/>
      <c r="G143" s="81"/>
      <c r="H143" s="80" t="str">
        <f>IFERROR(VLOOKUP($A143,'Balancete 2016'!$A:$D,4,0), "0")</f>
        <v>0</v>
      </c>
      <c r="J143" s="66"/>
      <c r="K143" s="58"/>
      <c r="L143" s="58"/>
      <c r="M143" s="59"/>
    </row>
    <row r="144" spans="1:13">
      <c r="A144" s="77" t="s">
        <v>1081</v>
      </c>
      <c r="B144" s="78">
        <v>-7</v>
      </c>
      <c r="C144" s="103" t="s">
        <v>1082</v>
      </c>
      <c r="D144" s="80"/>
      <c r="E144" s="81"/>
      <c r="F144" s="81"/>
      <c r="G144" s="81"/>
      <c r="H144" s="80">
        <f>IFERROR(VLOOKUP($A144,'Balancete 2016'!$A:$D,4,0), "0")</f>
        <v>7085620.2800000003</v>
      </c>
      <c r="J144" s="66"/>
      <c r="K144" s="58"/>
      <c r="L144" s="58"/>
      <c r="M144" s="59"/>
    </row>
    <row r="145" spans="1:13">
      <c r="A145" s="77" t="s">
        <v>1083</v>
      </c>
      <c r="B145" s="78">
        <v>-5</v>
      </c>
      <c r="C145" s="103" t="s">
        <v>1084</v>
      </c>
      <c r="D145" s="80"/>
      <c r="E145" s="81"/>
      <c r="F145" s="81"/>
      <c r="G145" s="81"/>
      <c r="H145" s="80">
        <f>IFERROR(VLOOKUP($A145,'Balancete 2016'!$A:$D,4,0), "0")</f>
        <v>795022.95</v>
      </c>
      <c r="J145" s="66"/>
      <c r="K145" s="58"/>
      <c r="L145" s="58"/>
      <c r="M145" s="59"/>
    </row>
    <row r="146" spans="1:13">
      <c r="A146" s="84" t="s">
        <v>177</v>
      </c>
      <c r="B146" s="78">
        <v>-7</v>
      </c>
      <c r="C146" s="78" t="s">
        <v>178</v>
      </c>
      <c r="D146" s="80">
        <f>IFERROR(VLOOKUP($A146,'Balancete 2015'!$A:$D,4,0), "0")</f>
        <v>414453820.41000003</v>
      </c>
      <c r="E146" s="81"/>
      <c r="F146" s="81"/>
      <c r="G146" s="81"/>
      <c r="H146" s="80">
        <f>IFERROR(VLOOKUP($A146,'Balancete 2016'!$A:$D,4,0), "0")</f>
        <v>2522319.96</v>
      </c>
      <c r="J146" s="57"/>
      <c r="K146" s="58"/>
      <c r="L146" s="58"/>
      <c r="M146" s="59"/>
    </row>
    <row r="147" spans="1:13">
      <c r="A147" s="84" t="s">
        <v>179</v>
      </c>
      <c r="B147" s="78">
        <v>0</v>
      </c>
      <c r="C147" s="78" t="s">
        <v>550</v>
      </c>
      <c r="D147" s="80">
        <f>IFERROR(VLOOKUP($A147,'Balancete 2015'!$A:$D,4,0), "0")</f>
        <v>414453820.41000003</v>
      </c>
      <c r="E147" s="81"/>
      <c r="F147" s="81"/>
      <c r="G147" s="81"/>
      <c r="H147" s="80">
        <f>IFERROR(VLOOKUP($A147,'Balancete 2016'!$A:$D,4,0), "0")</f>
        <v>2522319.96</v>
      </c>
      <c r="J147" s="57"/>
      <c r="K147" s="58"/>
      <c r="L147" s="58"/>
      <c r="M147" s="59"/>
    </row>
    <row r="148" spans="1:13">
      <c r="A148" s="84" t="s">
        <v>180</v>
      </c>
      <c r="B148" s="78">
        <v>-9</v>
      </c>
      <c r="C148" s="78" t="s">
        <v>551</v>
      </c>
      <c r="D148" s="80">
        <f>IFERROR(VLOOKUP($A148,'Balancete 2015'!$A:$D,4,0), "0")</f>
        <v>158144.85</v>
      </c>
      <c r="E148" s="81"/>
      <c r="F148" s="81"/>
      <c r="G148" s="81"/>
      <c r="H148" s="80">
        <f>IFERROR(VLOOKUP($A148,'Balancete 2016'!$A:$D,4,0), "0")</f>
        <v>621187.51</v>
      </c>
      <c r="J148" s="57"/>
      <c r="K148" s="58"/>
      <c r="L148" s="58"/>
      <c r="M148" s="59"/>
    </row>
    <row r="149" spans="1:13">
      <c r="A149" s="84" t="s">
        <v>181</v>
      </c>
      <c r="B149" s="78">
        <v>-7</v>
      </c>
      <c r="C149" s="78" t="s">
        <v>552</v>
      </c>
      <c r="D149" s="80">
        <f>IFERROR(VLOOKUP($A149,'Balancete 2015'!$A:$D,4,0), "0")</f>
        <v>603309.75</v>
      </c>
      <c r="E149" s="81"/>
      <c r="F149" s="81"/>
      <c r="G149" s="81"/>
      <c r="H149" s="80">
        <f>IFERROR(VLOOKUP($A149,'Balancete 2016'!$A:$D,4,0), "0")</f>
        <v>145021.51999999999</v>
      </c>
      <c r="J149" s="57"/>
      <c r="K149" s="58"/>
      <c r="L149" s="58"/>
      <c r="M149" s="59"/>
    </row>
    <row r="150" spans="1:13">
      <c r="A150" s="84" t="s">
        <v>182</v>
      </c>
      <c r="B150" s="78">
        <v>-5</v>
      </c>
      <c r="C150" s="78" t="s">
        <v>553</v>
      </c>
      <c r="D150" s="80">
        <f>IFERROR(VLOOKUP($A150,'Balancete 2015'!$A:$D,4,0), "0")</f>
        <v>257232.21</v>
      </c>
      <c r="E150" s="81"/>
      <c r="F150" s="81"/>
      <c r="G150" s="81"/>
      <c r="H150" s="80">
        <f>IFERROR(VLOOKUP($A150,'Balancete 2016'!$A:$D,4,0), "0")</f>
        <v>60825.33</v>
      </c>
      <c r="J150" s="57"/>
      <c r="K150" s="58"/>
      <c r="L150" s="58"/>
      <c r="M150" s="59"/>
    </row>
    <row r="151" spans="1:13">
      <c r="A151" s="103" t="s">
        <v>1086</v>
      </c>
      <c r="B151" s="103">
        <v>-3</v>
      </c>
      <c r="C151" s="103" t="s">
        <v>1087</v>
      </c>
      <c r="D151" s="80"/>
      <c r="E151" s="81"/>
      <c r="F151" s="81"/>
      <c r="G151" s="81"/>
      <c r="H151" s="80" t="str">
        <f>IFERROR(VLOOKUP($A151,'Balancete 2016'!$A:$D,4,0), "0")</f>
        <v>0</v>
      </c>
      <c r="J151" s="57"/>
      <c r="K151" s="58"/>
      <c r="L151" s="58"/>
      <c r="M151" s="59"/>
    </row>
    <row r="152" spans="1:13">
      <c r="A152" s="84" t="s">
        <v>183</v>
      </c>
      <c r="B152" s="78">
        <v>-1</v>
      </c>
      <c r="C152" s="78" t="s">
        <v>554</v>
      </c>
      <c r="D152" s="80">
        <f>IFERROR(VLOOKUP($A152,'Balancete 2015'!$A:$D,4,0), "0")</f>
        <v>3368739.93</v>
      </c>
      <c r="E152" s="81"/>
      <c r="F152" s="81"/>
      <c r="G152" s="81"/>
      <c r="H152" s="80">
        <f>IFERROR(VLOOKUP($A152,'Balancete 2016'!$A:$D,4,0), "0")</f>
        <v>1695285.6</v>
      </c>
      <c r="J152" s="57"/>
      <c r="K152" s="58"/>
      <c r="L152" s="58"/>
      <c r="M152" s="59"/>
    </row>
    <row r="153" spans="1:13">
      <c r="A153" s="84" t="s">
        <v>778</v>
      </c>
      <c r="B153" s="78"/>
      <c r="C153" s="132" t="s">
        <v>779</v>
      </c>
      <c r="D153" s="80">
        <f>IFERROR(VLOOKUP($A153,'Balancete 2015'!$A:$D,4,0), "0")</f>
        <v>374491746.10000002</v>
      </c>
      <c r="E153" s="81"/>
      <c r="F153" s="81"/>
      <c r="G153" s="81"/>
      <c r="H153" s="80" t="str">
        <f>IFERROR(VLOOKUP($A153,'Balancete 2016'!$A:$D,4,0), "0")</f>
        <v>0</v>
      </c>
      <c r="J153" s="57"/>
      <c r="K153" s="58"/>
      <c r="L153" s="58"/>
      <c r="M153" s="63"/>
    </row>
    <row r="154" spans="1:13">
      <c r="A154" s="84" t="s">
        <v>780</v>
      </c>
      <c r="B154" s="78"/>
      <c r="C154" s="132" t="s">
        <v>781</v>
      </c>
      <c r="D154" s="80">
        <f>IFERROR(VLOOKUP($A154,'Balancete 2015'!$A:$D,4,0), "0")</f>
        <v>35574647.57</v>
      </c>
      <c r="E154" s="81"/>
      <c r="F154" s="81"/>
      <c r="G154" s="81"/>
      <c r="H154" s="80" t="str">
        <f>IFERROR(VLOOKUP($A154,'Balancete 2016'!$A:$D,4,0), "0")</f>
        <v>0</v>
      </c>
      <c r="J154" s="57"/>
      <c r="K154" s="58"/>
      <c r="L154" s="58"/>
      <c r="M154" s="63"/>
    </row>
    <row r="155" spans="1:13">
      <c r="A155" s="84">
        <v>6</v>
      </c>
      <c r="B155" s="78">
        <v>-9</v>
      </c>
      <c r="C155" s="78" t="s">
        <v>184</v>
      </c>
      <c r="D155" s="80">
        <f>IFERROR(VLOOKUP($A155,'Balancete 2015'!$A:$D,4,0), "0")</f>
        <v>1201232664.8199999</v>
      </c>
      <c r="E155" s="81"/>
      <c r="F155" s="81"/>
      <c r="G155" s="81"/>
      <c r="H155" s="80">
        <f>IFERROR(VLOOKUP($A155,'Balancete 2016'!$A:$D,4,0), "0")</f>
        <v>3483988453.98</v>
      </c>
      <c r="J155" s="57"/>
      <c r="K155" s="58"/>
      <c r="L155" s="58"/>
      <c r="M155" s="59"/>
    </row>
    <row r="156" spans="1:13">
      <c r="A156" s="84" t="s">
        <v>185</v>
      </c>
      <c r="B156" s="78">
        <v>-6</v>
      </c>
      <c r="C156" s="78" t="s">
        <v>184</v>
      </c>
      <c r="D156" s="80">
        <f>IFERROR(VLOOKUP($A156,'Balancete 2015'!$A:$D,4,0), "0")</f>
        <v>1201232664.8199999</v>
      </c>
      <c r="E156" s="81"/>
      <c r="F156" s="81"/>
      <c r="G156" s="81"/>
      <c r="H156" s="80">
        <f>IFERROR(VLOOKUP($A156,'Balancete 2016'!$A:$D,4,0), "0")</f>
        <v>3483988453.98</v>
      </c>
      <c r="J156" s="57"/>
      <c r="K156" s="58"/>
      <c r="L156" s="58"/>
      <c r="M156" s="59"/>
    </row>
    <row r="157" spans="1:13">
      <c r="A157" s="84" t="s">
        <v>186</v>
      </c>
      <c r="B157" s="78">
        <v>-4</v>
      </c>
      <c r="C157" s="78" t="s">
        <v>187</v>
      </c>
      <c r="D157" s="80">
        <f>IFERROR(VLOOKUP($A157,'Balancete 2015'!$A:$D,4,0), "0")</f>
        <v>2415610459.4299998</v>
      </c>
      <c r="E157" s="81">
        <v>930</v>
      </c>
      <c r="F157" s="81"/>
      <c r="G157" s="81"/>
      <c r="H157" s="80">
        <f>IFERROR(VLOOKUP($A157,'Balancete 2016'!$A:$D,4,0), "0")</f>
        <v>2903635696.5700002</v>
      </c>
      <c r="J157" s="57"/>
      <c r="K157" s="58"/>
      <c r="L157" s="58"/>
      <c r="M157" s="59"/>
    </row>
    <row r="158" spans="1:13">
      <c r="A158" s="84" t="s">
        <v>327</v>
      </c>
      <c r="B158" s="78">
        <v>-8</v>
      </c>
      <c r="C158" s="78" t="s">
        <v>188</v>
      </c>
      <c r="D158" s="80">
        <f>IFERROR(VLOOKUP($A158,'Balancete 2015'!$A:$D,4,0), "0")</f>
        <v>4000000000</v>
      </c>
      <c r="E158" s="81">
        <v>940</v>
      </c>
      <c r="F158" s="81"/>
      <c r="G158" s="81"/>
      <c r="H158" s="80">
        <f>IFERROR(VLOOKUP($A158,'Balancete 2016'!$A:$D,4,0), "0")</f>
        <v>4000000000</v>
      </c>
      <c r="J158" s="57"/>
      <c r="K158" s="58"/>
      <c r="L158" s="58"/>
      <c r="M158" s="59"/>
    </row>
    <row r="159" spans="1:13">
      <c r="A159" s="84" t="s">
        <v>189</v>
      </c>
      <c r="B159" s="78">
        <v>-3</v>
      </c>
      <c r="C159" s="78" t="s">
        <v>190</v>
      </c>
      <c r="D159" s="80">
        <f>IFERROR(VLOOKUP($A159,'Balancete 2015'!$A:$D,4,0), "0")</f>
        <v>4000000000</v>
      </c>
      <c r="E159" s="81"/>
      <c r="F159" s="81"/>
      <c r="G159" s="81"/>
      <c r="H159" s="80">
        <f>IFERROR(VLOOKUP($A159,'Balancete 2016'!$A:$D,4,0), "0")</f>
        <v>4000000000</v>
      </c>
      <c r="J159" s="57"/>
      <c r="K159" s="58"/>
      <c r="L159" s="58"/>
      <c r="M159" s="59"/>
    </row>
    <row r="160" spans="1:13">
      <c r="A160" s="84" t="s">
        <v>191</v>
      </c>
      <c r="B160" s="78">
        <v>-3</v>
      </c>
      <c r="C160" s="78" t="s">
        <v>591</v>
      </c>
      <c r="D160" s="80">
        <f>IFERROR(VLOOKUP($A160,'Balancete 2015'!$A:$D,4,0), "0")</f>
        <v>4000000000</v>
      </c>
      <c r="E160" s="81"/>
      <c r="F160" s="81"/>
      <c r="G160" s="81"/>
      <c r="H160" s="80">
        <f>IFERROR(VLOOKUP($A160,'Balancete 2016'!$A:$D,4,0), "0")</f>
        <v>4000000000</v>
      </c>
      <c r="J160" s="57"/>
      <c r="K160" s="58"/>
      <c r="L160" s="58"/>
      <c r="M160" s="59"/>
    </row>
    <row r="161" spans="1:13">
      <c r="A161" s="84" t="s">
        <v>328</v>
      </c>
      <c r="B161" s="78">
        <v>-2</v>
      </c>
      <c r="C161" s="78" t="s">
        <v>192</v>
      </c>
      <c r="D161" s="80">
        <f>IFERROR(VLOOKUP($A161,'Balancete 2015'!$A:$D,4,0), "0")</f>
        <v>-2798767335.1799998</v>
      </c>
      <c r="E161" s="81">
        <v>950</v>
      </c>
      <c r="F161" s="81"/>
      <c r="G161" s="81"/>
      <c r="H161" s="80">
        <f>IFERROR(VLOOKUP($A161,'Balancete 2016'!$A:$D,4,0), "0")</f>
        <v>-1096364303.4300001</v>
      </c>
      <c r="J161" s="62"/>
      <c r="K161" s="58"/>
      <c r="L161" s="58"/>
      <c r="M161" s="59"/>
    </row>
    <row r="162" spans="1:13">
      <c r="A162" s="84" t="s">
        <v>193</v>
      </c>
      <c r="B162" s="78">
        <v>-8</v>
      </c>
      <c r="C162" s="78" t="s">
        <v>194</v>
      </c>
      <c r="D162" s="80">
        <f>IFERROR(VLOOKUP($A162,'Balancete 2015'!$A:$D,4,0), "0")</f>
        <v>-2798767335.1799998</v>
      </c>
      <c r="E162" s="81"/>
      <c r="F162" s="81"/>
      <c r="G162" s="81"/>
      <c r="H162" s="80">
        <f>IFERROR(VLOOKUP($A162,'Balancete 2016'!$A:$D,4,0), "0")</f>
        <v>-1096364303.4300001</v>
      </c>
      <c r="J162" s="62"/>
      <c r="K162" s="58"/>
      <c r="L162" s="58"/>
      <c r="M162" s="59"/>
    </row>
    <row r="163" spans="1:13">
      <c r="A163" s="84" t="s">
        <v>195</v>
      </c>
      <c r="B163" s="78">
        <v>-2</v>
      </c>
      <c r="C163" s="78" t="s">
        <v>555</v>
      </c>
      <c r="D163" s="80">
        <f>IFERROR(VLOOKUP($A163,'Balancete 2015'!$A:$D,4,0), "0")</f>
        <v>-2798767335.1799998</v>
      </c>
      <c r="E163" s="81"/>
      <c r="F163" s="81"/>
      <c r="G163" s="81"/>
      <c r="H163" s="80">
        <f>IFERROR(VLOOKUP($A163,'Balancete 2016'!$A:$D,4,0), "0")</f>
        <v>-1096364303.4300001</v>
      </c>
      <c r="J163" s="66"/>
      <c r="K163" s="58"/>
      <c r="L163" s="58"/>
      <c r="M163" s="59"/>
    </row>
    <row r="164" spans="1:13">
      <c r="A164" s="84" t="s">
        <v>291</v>
      </c>
      <c r="B164" s="78">
        <v>0</v>
      </c>
      <c r="C164" s="78" t="s">
        <v>292</v>
      </c>
      <c r="D164" s="80" t="str">
        <f>IFERROR(VLOOKUP($A164,'Balancete 2015'!$A:$D,4,0), "0")</f>
        <v>0</v>
      </c>
      <c r="E164" s="81">
        <v>960</v>
      </c>
      <c r="F164" s="81"/>
      <c r="G164" s="81"/>
      <c r="H164" s="80" t="str">
        <f>IFERROR(VLOOKUP($A164,'Balancete 2016'!$A:$D,4,0), "0")</f>
        <v>0</v>
      </c>
      <c r="J164" s="57"/>
      <c r="K164" s="58"/>
      <c r="L164" s="58"/>
      <c r="M164" s="59"/>
    </row>
    <row r="165" spans="1:13">
      <c r="A165" s="84" t="s">
        <v>293</v>
      </c>
      <c r="B165" s="78">
        <v>-4</v>
      </c>
      <c r="C165" s="78" t="s">
        <v>294</v>
      </c>
      <c r="D165" s="80" t="str">
        <f>IFERROR(VLOOKUP($A165,'Balancete 2015'!$A:$D,4,0), "0")</f>
        <v>0</v>
      </c>
      <c r="E165" s="81"/>
      <c r="F165" s="81"/>
      <c r="G165" s="81"/>
      <c r="H165" s="80" t="str">
        <f>IFERROR(VLOOKUP($A165,'Balancete 2016'!$A:$D,4,0), "0")</f>
        <v>0</v>
      </c>
      <c r="J165" s="57"/>
      <c r="K165" s="58"/>
      <c r="L165" s="58"/>
      <c r="M165" s="59"/>
    </row>
    <row r="166" spans="1:13">
      <c r="A166" s="84" t="s">
        <v>295</v>
      </c>
      <c r="B166" s="78">
        <v>-5</v>
      </c>
      <c r="C166" s="78" t="s">
        <v>294</v>
      </c>
      <c r="D166" s="80" t="str">
        <f>IFERROR(VLOOKUP($A166,'Balancete 2015'!$A:$D,4,0), "0")</f>
        <v>0</v>
      </c>
      <c r="E166" s="81"/>
      <c r="F166" s="81"/>
      <c r="G166" s="81"/>
      <c r="H166" s="80" t="str">
        <f>IFERROR(VLOOKUP($A166,'Balancete 2016'!$A:$D,4,0), "0")</f>
        <v>0</v>
      </c>
      <c r="J166" s="57"/>
      <c r="K166" s="58"/>
      <c r="L166" s="58"/>
      <c r="M166" s="59"/>
    </row>
    <row r="167" spans="1:13">
      <c r="A167" s="84" t="s">
        <v>296</v>
      </c>
      <c r="B167" s="78">
        <v>-8</v>
      </c>
      <c r="C167" s="78" t="s">
        <v>556</v>
      </c>
      <c r="D167" s="80" t="str">
        <f>IFERROR(VLOOKUP($A167,'Balancete 2015'!$A:$D,4,0), "0")</f>
        <v>0</v>
      </c>
      <c r="E167" s="81"/>
      <c r="F167" s="81"/>
      <c r="G167" s="81"/>
      <c r="H167" s="80" t="str">
        <f>IFERROR(VLOOKUP($A167,'Balancete 2016'!$A:$D,4,0), "0")</f>
        <v>0</v>
      </c>
      <c r="J167" s="57"/>
      <c r="K167" s="58"/>
      <c r="L167" s="58"/>
      <c r="M167" s="59"/>
    </row>
    <row r="168" spans="1:13">
      <c r="A168" s="84" t="s">
        <v>330</v>
      </c>
      <c r="B168" s="78">
        <v>-7</v>
      </c>
      <c r="C168" s="78" t="s">
        <v>196</v>
      </c>
      <c r="D168" s="80">
        <f>IFERROR(VLOOKUP($A168,'Balancete 2015'!$A:$D,4,0), "0")</f>
        <v>196977842.34</v>
      </c>
      <c r="E168" s="81">
        <v>970</v>
      </c>
      <c r="F168" s="81"/>
      <c r="G168" s="81"/>
      <c r="H168" s="80">
        <f>IFERROR(VLOOKUP($A168,'Balancete 2016'!$A:$D,4,0), "0")</f>
        <v>108096367.13</v>
      </c>
      <c r="J168" s="57"/>
      <c r="K168" s="58"/>
      <c r="L168" s="58"/>
      <c r="M168" s="59"/>
    </row>
    <row r="169" spans="1:13">
      <c r="A169" s="84" t="s">
        <v>197</v>
      </c>
      <c r="B169" s="78">
        <v>0</v>
      </c>
      <c r="C169" s="78" t="s">
        <v>198</v>
      </c>
      <c r="D169" s="80">
        <f>IFERROR(VLOOKUP($A169,'Balancete 2015'!$A:$D,4,0), "0")</f>
        <v>147600845.81999999</v>
      </c>
      <c r="E169" s="81"/>
      <c r="F169" s="81"/>
      <c r="G169" s="81"/>
      <c r="H169" s="80">
        <f>IFERROR(VLOOKUP($A169,'Balancete 2016'!$A:$D,4,0), "0")</f>
        <v>108096367.13</v>
      </c>
      <c r="J169" s="57"/>
      <c r="K169" s="58"/>
      <c r="L169" s="58"/>
      <c r="M169" s="59"/>
    </row>
    <row r="170" spans="1:13">
      <c r="A170" s="84" t="s">
        <v>199</v>
      </c>
      <c r="B170" s="78">
        <v>-1</v>
      </c>
      <c r="C170" s="78" t="s">
        <v>557</v>
      </c>
      <c r="D170" s="80">
        <f>IFERROR(VLOOKUP($A170,'Balancete 2015'!$A:$D,4,0), "0")</f>
        <v>147600845.81999999</v>
      </c>
      <c r="E170" s="81"/>
      <c r="F170" s="81"/>
      <c r="G170" s="81"/>
      <c r="H170" s="80">
        <f>IFERROR(VLOOKUP($A170,'Balancete 2016'!$A:$D,4,0), "0")</f>
        <v>108096367.13</v>
      </c>
      <c r="J170" s="57"/>
      <c r="K170" s="58"/>
      <c r="L170" s="58"/>
      <c r="M170" s="59"/>
    </row>
    <row r="171" spans="1:13">
      <c r="A171" s="84" t="s">
        <v>200</v>
      </c>
      <c r="B171" s="78">
        <v>0</v>
      </c>
      <c r="C171" s="78" t="s">
        <v>557</v>
      </c>
      <c r="D171" s="80">
        <f>IFERROR(VLOOKUP($A171,'Balancete 2015'!$A:$D,4,0), "0")</f>
        <v>147600845.81999999</v>
      </c>
      <c r="E171" s="81"/>
      <c r="F171" s="81"/>
      <c r="G171" s="81"/>
      <c r="H171" s="80">
        <f>IFERROR(VLOOKUP($A171,'Balancete 2016'!$A:$D,4,0), "0")</f>
        <v>108096367.13</v>
      </c>
      <c r="J171" s="57"/>
      <c r="K171" s="58"/>
      <c r="L171" s="58"/>
      <c r="M171" s="59"/>
    </row>
    <row r="172" spans="1:13">
      <c r="A172" s="84" t="s">
        <v>201</v>
      </c>
      <c r="B172" s="78">
        <v>-4</v>
      </c>
      <c r="C172" s="78" t="s">
        <v>202</v>
      </c>
      <c r="D172" s="80">
        <f>IFERROR(VLOOKUP($A172,'Balancete 2015'!$A:$D,4,0), "0")</f>
        <v>1263754791.1399999</v>
      </c>
      <c r="E172" s="81"/>
      <c r="F172" s="81"/>
      <c r="G172" s="81"/>
      <c r="H172" s="80" t="str">
        <f>IFERROR(VLOOKUP($A172,'Balancete 2016'!$A:$D,4,0), "0")</f>
        <v>0</v>
      </c>
      <c r="J172" s="57"/>
      <c r="K172" s="58"/>
      <c r="L172" s="58"/>
      <c r="M172" s="59"/>
    </row>
    <row r="173" spans="1:13">
      <c r="A173" s="84" t="s">
        <v>203</v>
      </c>
      <c r="B173" s="78">
        <v>0</v>
      </c>
      <c r="C173" s="78" t="s">
        <v>202</v>
      </c>
      <c r="D173" s="80">
        <f>IFERROR(VLOOKUP($A173,'Balancete 2015'!$A:$D,4,0), "0")</f>
        <v>1263754791.1399999</v>
      </c>
      <c r="E173" s="81"/>
      <c r="F173" s="81"/>
      <c r="G173" s="81"/>
      <c r="H173" s="80" t="str">
        <f>IFERROR(VLOOKUP($A173,'Balancete 2016'!$A:$D,4,0), "0")</f>
        <v>0</v>
      </c>
      <c r="J173" s="57"/>
      <c r="K173" s="58"/>
      <c r="L173" s="58"/>
      <c r="M173" s="59"/>
    </row>
    <row r="174" spans="1:13">
      <c r="A174" s="84" t="s">
        <v>204</v>
      </c>
      <c r="B174" s="78">
        <v>-4</v>
      </c>
      <c r="C174" s="78" t="s">
        <v>558</v>
      </c>
      <c r="D174" s="80">
        <f>IFERROR(VLOOKUP($A174,'Balancete 2015'!$A:$D,4,0), "0")</f>
        <v>1263754791.1399999</v>
      </c>
      <c r="E174" s="81"/>
      <c r="F174" s="81"/>
      <c r="G174" s="81"/>
      <c r="H174" s="80" t="str">
        <f>IFERROR(VLOOKUP($A174,'Balancete 2016'!$A:$D,4,0), "0")</f>
        <v>0</v>
      </c>
      <c r="J174" s="57"/>
      <c r="K174" s="58"/>
      <c r="L174" s="58"/>
      <c r="M174" s="59"/>
    </row>
    <row r="175" spans="1:13">
      <c r="A175" s="84" t="s">
        <v>329</v>
      </c>
      <c r="B175" s="78">
        <v>-5</v>
      </c>
      <c r="C175" s="78" t="s">
        <v>205</v>
      </c>
      <c r="D175" s="80">
        <f>IFERROR(VLOOKUP($A175,'Balancete 2015'!$A:$D,4,0), "0")</f>
        <v>318888902.85000002</v>
      </c>
      <c r="E175" s="81">
        <v>980</v>
      </c>
      <c r="F175" s="81"/>
      <c r="G175" s="81"/>
      <c r="H175" s="80">
        <f>IFERROR(VLOOKUP($A175,'Balancete 2016'!$A:$D,4,0), "0")</f>
        <v>383374915.06999999</v>
      </c>
      <c r="I175" s="7"/>
      <c r="J175" s="57"/>
      <c r="K175" s="58"/>
      <c r="L175" s="58"/>
      <c r="M175" s="59"/>
    </row>
    <row r="176" spans="1:13">
      <c r="A176" s="84" t="s">
        <v>206</v>
      </c>
      <c r="B176" s="78">
        <v>-9</v>
      </c>
      <c r="C176" s="78" t="s">
        <v>207</v>
      </c>
      <c r="D176" s="80">
        <f>IFERROR(VLOOKUP($A176,'Balancete 2015'!$A:$D,4,0), "0")</f>
        <v>304538972.32999998</v>
      </c>
      <c r="E176" s="81"/>
      <c r="F176" s="81"/>
      <c r="G176" s="81"/>
      <c r="H176" s="80">
        <f>IFERROR(VLOOKUP($A176,'Balancete 2016'!$A:$D,4,0), "0")</f>
        <v>305225153</v>
      </c>
      <c r="J176" s="57"/>
      <c r="K176" s="58"/>
      <c r="L176" s="58"/>
      <c r="M176" s="59"/>
    </row>
    <row r="177" spans="1:13">
      <c r="A177" s="84" t="s">
        <v>208</v>
      </c>
      <c r="B177" s="78">
        <v>-4</v>
      </c>
      <c r="C177" s="78" t="s">
        <v>209</v>
      </c>
      <c r="D177" s="80">
        <f>IFERROR(VLOOKUP($A177,'Balancete 2015'!$A:$D,4,0), "0")</f>
        <v>393734360.75</v>
      </c>
      <c r="E177" s="81"/>
      <c r="F177" s="81"/>
      <c r="G177" s="81"/>
      <c r="H177" s="80">
        <f>IFERROR(VLOOKUP($A177,'Balancete 2016'!$A:$D,4,0), "0")</f>
        <v>392161098.97000003</v>
      </c>
      <c r="J177" s="57"/>
      <c r="K177" s="58"/>
      <c r="L177" s="58"/>
      <c r="M177" s="59"/>
    </row>
    <row r="178" spans="1:13">
      <c r="A178" s="84" t="s">
        <v>210</v>
      </c>
      <c r="B178" s="78">
        <v>-9</v>
      </c>
      <c r="C178" s="78" t="s">
        <v>559</v>
      </c>
      <c r="D178" s="80">
        <f>IFERROR(VLOOKUP($A178,'Balancete 2015'!$A:$D,4,0), "0")</f>
        <v>657374339.66999996</v>
      </c>
      <c r="E178" s="81"/>
      <c r="F178" s="81"/>
      <c r="G178" s="81"/>
      <c r="H178" s="80">
        <f>IFERROR(VLOOKUP($A178,'Balancete 2016'!$A:$D,4,0), "0")</f>
        <v>654747640</v>
      </c>
      <c r="J178" s="57"/>
      <c r="K178" s="58"/>
      <c r="L178" s="58"/>
      <c r="M178" s="59"/>
    </row>
    <row r="179" spans="1:13">
      <c r="A179" s="84" t="s">
        <v>211</v>
      </c>
      <c r="B179" s="78">
        <v>-7</v>
      </c>
      <c r="C179" s="78" t="s">
        <v>212</v>
      </c>
      <c r="D179" s="80">
        <f>IFERROR(VLOOKUP($A179,'Balancete 2015'!$A:$D,4,0), "0")</f>
        <v>-263639978.91999999</v>
      </c>
      <c r="E179" s="81"/>
      <c r="F179" s="81"/>
      <c r="G179" s="81"/>
      <c r="H179" s="80">
        <f>IFERROR(VLOOKUP($A179,'Balancete 2016'!$A:$D,4,0), "0")</f>
        <v>-262586541.03</v>
      </c>
      <c r="J179" s="57"/>
      <c r="K179" s="58"/>
      <c r="L179" s="58"/>
      <c r="M179" s="59"/>
    </row>
    <row r="180" spans="1:13">
      <c r="A180" s="84" t="s">
        <v>213</v>
      </c>
      <c r="B180" s="78">
        <v>0</v>
      </c>
      <c r="C180" s="78" t="s">
        <v>560</v>
      </c>
      <c r="D180" s="80">
        <f>IFERROR(VLOOKUP($A180,'Balancete 2015'!$A:$D,4,0), "0")</f>
        <v>-89195388.420000002</v>
      </c>
      <c r="E180" s="81"/>
      <c r="F180" s="81"/>
      <c r="G180" s="81"/>
      <c r="H180" s="80">
        <f>IFERROR(VLOOKUP($A180,'Balancete 2016'!$A:$D,4,0), "0")</f>
        <v>-86935945.969999999</v>
      </c>
      <c r="I180" s="7"/>
      <c r="J180" s="57"/>
      <c r="K180" s="58"/>
      <c r="L180" s="58"/>
      <c r="M180" s="59"/>
    </row>
    <row r="181" spans="1:13">
      <c r="A181" s="84" t="s">
        <v>214</v>
      </c>
      <c r="B181" s="78">
        <v>-1</v>
      </c>
      <c r="C181" s="78" t="s">
        <v>561</v>
      </c>
      <c r="D181" s="80">
        <f>IFERROR(VLOOKUP($A181,'Balancete 2015'!$A:$D,4,0), "0")</f>
        <v>-89195388.420000002</v>
      </c>
      <c r="E181" s="81"/>
      <c r="F181" s="81"/>
      <c r="G181" s="81"/>
      <c r="H181" s="80">
        <f>IFERROR(VLOOKUP($A181,'Balancete 2016'!$A:$D,4,0), "0")</f>
        <v>-86935945.969999999</v>
      </c>
      <c r="J181" s="57"/>
      <c r="K181" s="58"/>
      <c r="L181" s="58"/>
      <c r="M181" s="59"/>
    </row>
    <row r="182" spans="1:13">
      <c r="A182" s="84" t="s">
        <v>297</v>
      </c>
      <c r="B182" s="78">
        <v>-8</v>
      </c>
      <c r="C182" s="78" t="s">
        <v>298</v>
      </c>
      <c r="D182" s="80">
        <f>IFERROR(VLOOKUP($A182,'Balancete 2015'!$A:$D,4,0), "0")</f>
        <v>14349930.52</v>
      </c>
      <c r="E182" s="81"/>
      <c r="F182" s="81"/>
      <c r="G182" s="81"/>
      <c r="H182" s="80">
        <f>IFERROR(VLOOKUP($A182,'Balancete 2016'!$A:$D,4,0), "0")</f>
        <v>78149762.069999993</v>
      </c>
      <c r="I182" s="7"/>
      <c r="J182" s="57"/>
      <c r="K182" s="58"/>
      <c r="L182" s="58"/>
      <c r="M182" s="59"/>
    </row>
    <row r="183" spans="1:13">
      <c r="A183" s="84" t="s">
        <v>299</v>
      </c>
      <c r="B183" s="78">
        <v>-9</v>
      </c>
      <c r="C183" s="78" t="s">
        <v>298</v>
      </c>
      <c r="D183" s="80">
        <f>IFERROR(VLOOKUP($A183,'Balancete 2015'!$A:$D,4,0), "0")</f>
        <v>14182670.960000001</v>
      </c>
      <c r="E183" s="81"/>
      <c r="F183" s="81"/>
      <c r="G183" s="81"/>
      <c r="H183" s="80">
        <f>IFERROR(VLOOKUP($A183,'Balancete 2016'!$A:$D,4,0), "0")</f>
        <v>64255432.509999998</v>
      </c>
      <c r="J183" s="57"/>
      <c r="K183" s="58"/>
      <c r="L183" s="58"/>
      <c r="M183" s="59"/>
    </row>
    <row r="184" spans="1:13">
      <c r="A184" s="84" t="s">
        <v>300</v>
      </c>
      <c r="B184" s="78">
        <v>-7</v>
      </c>
      <c r="C184" s="78" t="s">
        <v>562</v>
      </c>
      <c r="D184" s="80">
        <f>IFERROR(VLOOKUP($A184,'Balancete 2015'!$A:$D,4,0), "0")</f>
        <v>14182670.960000001</v>
      </c>
      <c r="E184" s="81"/>
      <c r="F184" s="81"/>
      <c r="G184" s="81"/>
      <c r="H184" s="80">
        <f>IFERROR(VLOOKUP($A184,'Balancete 2016'!$A:$D,4,0), "0")</f>
        <v>64255432.509999998</v>
      </c>
      <c r="J184" s="64"/>
      <c r="K184" s="58"/>
      <c r="L184" s="58"/>
      <c r="M184" s="59"/>
    </row>
    <row r="185" spans="1:13">
      <c r="A185" s="103" t="s">
        <v>865</v>
      </c>
      <c r="B185" s="103">
        <v>-4</v>
      </c>
      <c r="C185" s="103" t="s">
        <v>866</v>
      </c>
      <c r="D185" s="80"/>
      <c r="E185" s="81"/>
      <c r="F185" s="81"/>
      <c r="G185" s="81"/>
      <c r="H185" s="80">
        <f>IFERROR(VLOOKUP($A185,'Balancete 2016'!$A:$D,4,0), "0")</f>
        <v>13894329.560000001</v>
      </c>
      <c r="J185" s="64"/>
      <c r="K185" s="58"/>
      <c r="L185" s="58"/>
      <c r="M185" s="59"/>
    </row>
    <row r="186" spans="1:13">
      <c r="A186" s="103" t="s">
        <v>867</v>
      </c>
      <c r="B186" s="103">
        <v>0</v>
      </c>
      <c r="C186" s="103" t="s">
        <v>868</v>
      </c>
      <c r="D186" s="80"/>
      <c r="E186" s="81"/>
      <c r="F186" s="81"/>
      <c r="G186" s="81"/>
      <c r="H186" s="80">
        <f>IFERROR(VLOOKUP($A186,'Balancete 2016'!$A:$D,4,0), "0")</f>
        <v>167259.56</v>
      </c>
      <c r="J186" s="64"/>
      <c r="K186" s="58"/>
      <c r="L186" s="58"/>
      <c r="M186" s="59"/>
    </row>
    <row r="187" spans="1:13">
      <c r="A187" s="103" t="s">
        <v>1090</v>
      </c>
      <c r="B187" s="103">
        <v>-9</v>
      </c>
      <c r="C187" s="103" t="s">
        <v>1091</v>
      </c>
      <c r="D187" s="80"/>
      <c r="E187" s="81"/>
      <c r="F187" s="81"/>
      <c r="G187" s="81"/>
      <c r="H187" s="80">
        <f>IFERROR(VLOOKUP($A187,'Balancete 2016'!$A:$D,4,0), "0")</f>
        <v>13727070</v>
      </c>
      <c r="J187" s="64"/>
      <c r="K187" s="58"/>
      <c r="L187" s="58"/>
      <c r="M187" s="59"/>
    </row>
    <row r="188" spans="1:13">
      <c r="A188" s="84" t="s">
        <v>679</v>
      </c>
      <c r="B188" s="78"/>
      <c r="C188" s="78" t="s">
        <v>680</v>
      </c>
      <c r="D188" s="80">
        <f>IFERROR(VLOOKUP($A188,'Balancete 2015'!$A:$D,4,0), "0")</f>
        <v>-77857963.370000005</v>
      </c>
      <c r="E188" s="81"/>
      <c r="F188" s="81"/>
      <c r="G188" s="81"/>
      <c r="H188" s="80">
        <f>IFERROR(VLOOKUP($A188,'Balancete 2016'!$A:$D,4,0), "0")</f>
        <v>88881475.209999993</v>
      </c>
      <c r="J188" s="66"/>
      <c r="K188" s="58"/>
      <c r="L188" s="58"/>
      <c r="M188" s="59"/>
    </row>
    <row r="189" spans="1:13">
      <c r="A189" s="84" t="s">
        <v>681</v>
      </c>
      <c r="B189" s="78"/>
      <c r="C189" s="78" t="s">
        <v>680</v>
      </c>
      <c r="D189" s="80">
        <f>IFERROR(VLOOKUP($A189,'Balancete 2015'!$A:$D,4,0), "0")</f>
        <v>-77857963.370000005</v>
      </c>
      <c r="E189" s="81"/>
      <c r="F189" s="81"/>
      <c r="G189" s="81"/>
      <c r="H189" s="80">
        <f>IFERROR(VLOOKUP($A189,'Balancete 2016'!$A:$D,4,0), "0")</f>
        <v>88881475.209999993</v>
      </c>
      <c r="J189" s="66"/>
      <c r="K189" s="58"/>
      <c r="L189" s="58"/>
      <c r="M189" s="59"/>
    </row>
    <row r="190" spans="1:13">
      <c r="A190" s="84" t="s">
        <v>782</v>
      </c>
      <c r="B190" s="78"/>
      <c r="C190" s="78" t="s">
        <v>786</v>
      </c>
      <c r="D190" s="80" t="str">
        <f>IFERROR(VLOOKUP($A190,'Balancete 2015'!$A:$D,4,0), "0")</f>
        <v>0</v>
      </c>
      <c r="E190" s="81"/>
      <c r="F190" s="81"/>
      <c r="G190" s="81"/>
      <c r="H190" s="80" t="str">
        <f>IFERROR(VLOOKUP($A190,'Balancete 2016'!$A:$D,4,0), "0")</f>
        <v>0</v>
      </c>
      <c r="J190" s="66"/>
      <c r="K190" s="58"/>
      <c r="L190" s="58"/>
      <c r="M190" s="59"/>
    </row>
    <row r="191" spans="1:13">
      <c r="A191" s="84" t="s">
        <v>783</v>
      </c>
      <c r="B191" s="78"/>
      <c r="C191" s="78" t="s">
        <v>787</v>
      </c>
      <c r="D191" s="80" t="str">
        <f>IFERROR(VLOOKUP($A191,'Balancete 2015'!$A:$D,4,0), "0")</f>
        <v>0</v>
      </c>
      <c r="E191" s="81"/>
      <c r="F191" s="81"/>
      <c r="G191" s="81"/>
      <c r="H191" s="80" t="str">
        <f>IFERROR(VLOOKUP($A191,'Balancete 2016'!$A:$D,4,0), "0")</f>
        <v>0</v>
      </c>
      <c r="J191" s="66"/>
      <c r="K191" s="58"/>
      <c r="L191" s="58"/>
      <c r="M191" s="59"/>
    </row>
    <row r="192" spans="1:13">
      <c r="A192" s="25"/>
      <c r="J192" s="64"/>
      <c r="K192" s="58"/>
      <c r="L192" s="58"/>
      <c r="M192" s="59"/>
    </row>
    <row r="193" spans="1:13">
      <c r="A193" s="25"/>
      <c r="J193" s="64"/>
      <c r="K193" s="58"/>
      <c r="L193" s="58"/>
      <c r="M193" s="59"/>
    </row>
    <row r="194" spans="1:13">
      <c r="A194" s="25"/>
      <c r="J194" s="57"/>
      <c r="K194" s="58"/>
      <c r="L194" s="58"/>
      <c r="M194" s="59"/>
    </row>
    <row r="195" spans="1:13">
      <c r="A195" s="25"/>
      <c r="J195" s="57"/>
      <c r="K195" s="58"/>
      <c r="L195" s="58"/>
      <c r="M195" s="59"/>
    </row>
    <row r="196" spans="1:13">
      <c r="A196" s="25"/>
      <c r="D196" s="70"/>
      <c r="H196" s="70"/>
      <c r="J196" s="57"/>
      <c r="K196" s="58"/>
      <c r="L196" s="58"/>
      <c r="M196" s="59"/>
    </row>
    <row r="197" spans="1:13">
      <c r="A197" s="25"/>
      <c r="J197" s="57"/>
      <c r="K197" s="58"/>
      <c r="L197" s="58"/>
      <c r="M197" s="59"/>
    </row>
    <row r="198" spans="1:13">
      <c r="A198" s="25"/>
      <c r="J198" s="57"/>
      <c r="K198" s="58"/>
      <c r="L198" s="58"/>
      <c r="M198" s="59"/>
    </row>
    <row r="199" spans="1:13">
      <c r="A199" s="25"/>
      <c r="J199" s="57"/>
      <c r="K199" s="58"/>
      <c r="L199" s="58"/>
      <c r="M199" s="59"/>
    </row>
    <row r="200" spans="1:13">
      <c r="A200" s="25"/>
      <c r="J200" s="57"/>
      <c r="K200" s="58"/>
      <c r="L200" s="58"/>
      <c r="M200" s="59"/>
    </row>
    <row r="201" spans="1:13">
      <c r="A201" s="25"/>
      <c r="J201" s="57"/>
      <c r="K201" s="58"/>
      <c r="L201" s="58"/>
      <c r="M201" s="59"/>
    </row>
    <row r="202" spans="1:13">
      <c r="A202" s="25"/>
      <c r="J202" s="57"/>
      <c r="K202" s="58"/>
      <c r="L202" s="58"/>
      <c r="M202" s="59"/>
    </row>
    <row r="203" spans="1:13">
      <c r="A203" s="25"/>
      <c r="J203" s="57"/>
      <c r="K203" s="58"/>
      <c r="L203" s="58"/>
      <c r="M203" s="59"/>
    </row>
    <row r="204" spans="1:13">
      <c r="A204" s="25"/>
      <c r="J204" s="57"/>
      <c r="K204" s="58"/>
      <c r="L204" s="58"/>
      <c r="M204" s="59"/>
    </row>
    <row r="205" spans="1:13">
      <c r="A205" s="25"/>
      <c r="J205" s="57"/>
      <c r="K205" s="58"/>
      <c r="L205" s="58"/>
      <c r="M205" s="59"/>
    </row>
    <row r="206" spans="1:13">
      <c r="A206" s="25"/>
      <c r="J206" s="57"/>
      <c r="K206" s="58"/>
      <c r="L206" s="58"/>
      <c r="M206" s="59"/>
    </row>
    <row r="207" spans="1:13">
      <c r="A207" s="25"/>
      <c r="J207" s="57"/>
      <c r="K207" s="58"/>
      <c r="L207" s="58"/>
      <c r="M207" s="59"/>
    </row>
    <row r="208" spans="1:13">
      <c r="A208" s="25"/>
      <c r="J208" s="57"/>
      <c r="K208" s="58"/>
      <c r="L208" s="58"/>
      <c r="M208" s="59"/>
    </row>
    <row r="209" spans="1:13">
      <c r="A209" s="25"/>
      <c r="J209" s="57"/>
      <c r="K209" s="58"/>
      <c r="L209" s="58"/>
      <c r="M209" s="59"/>
    </row>
    <row r="210" spans="1:13">
      <c r="A210" s="25"/>
      <c r="J210" s="57"/>
      <c r="K210" s="58"/>
      <c r="L210" s="58"/>
      <c r="M210" s="59"/>
    </row>
    <row r="211" spans="1:13">
      <c r="A211" s="25"/>
      <c r="J211" s="57"/>
      <c r="K211" s="58"/>
      <c r="L211" s="58"/>
      <c r="M211" s="59"/>
    </row>
    <row r="212" spans="1:13">
      <c r="A212" s="25"/>
      <c r="J212" s="57"/>
      <c r="K212" s="58"/>
      <c r="L212" s="58"/>
      <c r="M212" s="59"/>
    </row>
    <row r="213" spans="1:13">
      <c r="A213" s="25"/>
      <c r="J213" s="57"/>
      <c r="K213" s="58"/>
      <c r="L213" s="58"/>
      <c r="M213" s="59"/>
    </row>
    <row r="214" spans="1:13">
      <c r="A214" s="25"/>
      <c r="J214" s="57"/>
      <c r="K214" s="58"/>
      <c r="L214" s="58"/>
      <c r="M214" s="59"/>
    </row>
    <row r="215" spans="1:13">
      <c r="A215" s="25"/>
      <c r="J215" s="57"/>
      <c r="K215" s="58"/>
      <c r="L215" s="58"/>
      <c r="M215" s="59"/>
    </row>
    <row r="216" spans="1:13">
      <c r="J216" s="57"/>
      <c r="K216" s="58"/>
      <c r="L216" s="58"/>
      <c r="M216" s="59"/>
    </row>
    <row r="217" spans="1:13">
      <c r="J217" s="57"/>
      <c r="K217" s="58"/>
      <c r="L217" s="58"/>
      <c r="M217" s="59"/>
    </row>
    <row r="218" spans="1:13">
      <c r="J218" s="64"/>
      <c r="K218" s="65"/>
      <c r="L218" s="65"/>
      <c r="M218" s="66"/>
    </row>
    <row r="219" spans="1:13">
      <c r="J219" s="64"/>
      <c r="K219" s="65"/>
      <c r="L219" s="65"/>
      <c r="M219" s="66"/>
    </row>
    <row r="220" spans="1:13">
      <c r="J220" s="64"/>
      <c r="K220" s="65"/>
      <c r="L220" s="65"/>
      <c r="M220" s="66"/>
    </row>
    <row r="221" spans="1:13">
      <c r="J221" s="64"/>
      <c r="K221" s="65"/>
      <c r="L221" s="65"/>
      <c r="M221" s="66"/>
    </row>
    <row r="222" spans="1:13">
      <c r="J222" s="64"/>
      <c r="K222" s="65"/>
      <c r="L222" s="65"/>
      <c r="M222" s="66"/>
    </row>
    <row r="223" spans="1:13">
      <c r="J223" s="64"/>
      <c r="K223" s="65"/>
      <c r="L223" s="65"/>
      <c r="M223" s="66"/>
    </row>
    <row r="224" spans="1:13">
      <c r="J224" s="64"/>
      <c r="K224" s="65"/>
      <c r="L224" s="65"/>
      <c r="M224" s="66"/>
    </row>
    <row r="225" spans="10:13">
      <c r="J225" s="64"/>
      <c r="K225" s="65"/>
      <c r="L225" s="65"/>
      <c r="M225" s="66"/>
    </row>
    <row r="226" spans="10:13">
      <c r="J226" s="67"/>
      <c r="K226" s="68"/>
      <c r="L226" s="68"/>
      <c r="M226" s="6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0"/>
  <dimension ref="A1:Q252"/>
  <sheetViews>
    <sheetView showGridLines="0" zoomScale="90" zoomScaleNormal="90" workbookViewId="0">
      <selection activeCell="A125" sqref="A125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72" customWidth="1"/>
    <col min="5" max="8" width="12.5703125" style="1" bestFit="1" customWidth="1"/>
    <col min="9" max="9" width="16.140625" style="72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74" hidden="1" customWidth="1"/>
    <col min="15" max="15" width="15.28515625" style="73" hidden="1" customWidth="1"/>
    <col min="16" max="16" width="16.5703125" hidden="1" customWidth="1"/>
    <col min="17" max="17" width="16.140625" bestFit="1" customWidth="1"/>
  </cols>
  <sheetData>
    <row r="1" spans="1:17">
      <c r="A1" s="460" t="s">
        <v>592</v>
      </c>
      <c r="B1" s="460"/>
      <c r="C1" s="31" t="s">
        <v>593</v>
      </c>
      <c r="D1" s="33" t="s">
        <v>1113</v>
      </c>
      <c r="E1" s="32" t="s">
        <v>249</v>
      </c>
      <c r="F1" s="32" t="s">
        <v>246</v>
      </c>
      <c r="G1" s="32" t="s">
        <v>612</v>
      </c>
      <c r="H1" s="32" t="s">
        <v>613</v>
      </c>
      <c r="I1" s="33" t="s">
        <v>1114</v>
      </c>
      <c r="J1" s="6"/>
      <c r="L1" s="91"/>
      <c r="M1" s="85" t="s">
        <v>978</v>
      </c>
      <c r="N1" s="90" t="s">
        <v>976</v>
      </c>
      <c r="O1" s="86" t="s">
        <v>977</v>
      </c>
    </row>
    <row r="2" spans="1:17" s="93" customFormat="1">
      <c r="A2" s="84">
        <v>8</v>
      </c>
      <c r="B2" s="78">
        <v>-1</v>
      </c>
      <c r="C2" s="78" t="s">
        <v>40</v>
      </c>
      <c r="D2" s="125">
        <f>IFERROR(VLOOKUP($A2,'Balancete 2015'!$A:$D,4,0),"0")+O2</f>
        <v>225950950.93000001</v>
      </c>
      <c r="E2" s="78"/>
      <c r="F2" s="78"/>
      <c r="G2" s="78"/>
      <c r="H2" s="78"/>
      <c r="I2" s="125">
        <f>IFERROR(VLOOKUP($A2,'Balancete 2016'!$A:$D,4,0),"0")</f>
        <v>320368802.38</v>
      </c>
      <c r="J2" s="95"/>
      <c r="K2" s="57"/>
      <c r="L2" s="58"/>
      <c r="M2" s="87">
        <f>VLOOKUP(A2,'1 sem.15'!A:D,1,0)</f>
        <v>8</v>
      </c>
      <c r="N2" s="161" t="str">
        <f>VLOOKUP(A2,'1 sem.15'!A:D,3,0)</f>
        <v>CONTAS DE RESULTADO DEVEDORAS</v>
      </c>
      <c r="O2" s="161">
        <f>VLOOKUP(A2,'1 sem.15'!A:D,4,0)</f>
        <v>154964138.34999999</v>
      </c>
      <c r="P2" s="100"/>
      <c r="Q2" s="95"/>
    </row>
    <row r="3" spans="1:17" s="93" customFormat="1">
      <c r="A3" s="84" t="s">
        <v>41</v>
      </c>
      <c r="B3" s="78">
        <v>-9</v>
      </c>
      <c r="C3" s="78" t="s">
        <v>42</v>
      </c>
      <c r="D3" s="125">
        <f>IFERROR(VLOOKUP($A3,'Balancete 2015'!$A:$D,4,0),"0")+O3</f>
        <v>174348288.11000001</v>
      </c>
      <c r="E3" s="78"/>
      <c r="F3" s="78"/>
      <c r="G3" s="78"/>
      <c r="H3" s="78"/>
      <c r="I3" s="125">
        <f>IFERROR(VLOOKUP($A3,'Balancete 2016'!$A:$D,4,0),"0")</f>
        <v>288326842.72000003</v>
      </c>
      <c r="J3" s="95"/>
      <c r="K3" s="57"/>
      <c r="M3" s="87" t="str">
        <f>VLOOKUP(A3,'1 sem.15'!A:D,1,0)</f>
        <v>8.1</v>
      </c>
      <c r="N3" s="161" t="str">
        <f>VLOOKUP(A3,'1 sem.15'!A:D,3,0)</f>
        <v>DESPESAS OPERACIONAIS</v>
      </c>
      <c r="O3" s="161">
        <f>VLOOKUP(A3,'1 sem.15'!A:D,4,0)</f>
        <v>117893327.86</v>
      </c>
      <c r="P3" s="100"/>
      <c r="Q3" s="95"/>
    </row>
    <row r="4" spans="1:17" s="93" customFormat="1">
      <c r="A4" s="84" t="s">
        <v>334</v>
      </c>
      <c r="B4" s="78">
        <v>-8</v>
      </c>
      <c r="C4" s="78" t="s">
        <v>43</v>
      </c>
      <c r="D4" s="125">
        <f>IFERROR(VLOOKUP($A4,'Balancete 2015'!$A:$D,4,0),"0")+O4</f>
        <v>138475022.58000001</v>
      </c>
      <c r="E4" s="78"/>
      <c r="F4" s="78"/>
      <c r="G4" s="78"/>
      <c r="H4" s="78"/>
      <c r="I4" s="125">
        <f>IFERROR(VLOOKUP($A4,'Balancete 2016'!$A:$D,4,0),"0")</f>
        <v>230349612.99000001</v>
      </c>
      <c r="J4" s="95"/>
      <c r="K4" s="57"/>
      <c r="M4" s="87" t="str">
        <f>VLOOKUP(A4,'1 sem.15'!A:D,1,0)</f>
        <v>8.1.6</v>
      </c>
      <c r="N4" s="161" t="str">
        <f>VLOOKUP(A4,'1 sem.15'!A:D,3,0)</f>
        <v>DESPESAS DE PARTICIPACOES</v>
      </c>
      <c r="O4" s="161">
        <f>VLOOKUP(A4,'1 sem.15'!A:D,4,0)</f>
        <v>91432682.060000002</v>
      </c>
      <c r="P4" s="100"/>
      <c r="Q4" s="95"/>
    </row>
    <row r="5" spans="1:17" s="93" customFormat="1">
      <c r="A5" s="84" t="s">
        <v>44</v>
      </c>
      <c r="B5" s="78">
        <v>-5</v>
      </c>
      <c r="C5" s="78" t="s">
        <v>45</v>
      </c>
      <c r="D5" s="125">
        <f>IFERROR(VLOOKUP($A5,'Balancete 2015'!$A:$D,4,0),"0")+O5</f>
        <v>138475022.58000001</v>
      </c>
      <c r="E5" s="78"/>
      <c r="F5" s="78"/>
      <c r="G5" s="78"/>
      <c r="H5" s="78"/>
      <c r="I5" s="125">
        <f>IFERROR(VLOOKUP($A5,'Balancete 2016'!$A:$D,4,0),"0")</f>
        <v>230349612.99000001</v>
      </c>
      <c r="J5" s="95"/>
      <c r="K5" s="57"/>
      <c r="M5" s="87" t="str">
        <f>VLOOKUP(A5,'1 sem.15'!A:D,1,0)</f>
        <v>8.1.6.20</v>
      </c>
      <c r="N5" s="161" t="str">
        <f>VLOOKUP(A5,'1 sem.15'!A:D,3,0)</f>
        <v>DESPESAS DE AJUSTES EM INVEST COLIG E CONTROL</v>
      </c>
      <c r="O5" s="161">
        <f>VLOOKUP(A5,'1 sem.15'!A:D,4,0)</f>
        <v>91432682.060000002</v>
      </c>
      <c r="P5" s="100"/>
      <c r="Q5" s="95"/>
    </row>
    <row r="6" spans="1:17" s="93" customFormat="1">
      <c r="A6" s="84" t="s">
        <v>46</v>
      </c>
      <c r="B6" s="78">
        <v>0</v>
      </c>
      <c r="C6" s="78" t="s">
        <v>47</v>
      </c>
      <c r="D6" s="125">
        <f>IFERROR(VLOOKUP($A6,'Balancete 2015'!$A:$D,4,0),"0")+O6</f>
        <v>138475022.58000001</v>
      </c>
      <c r="E6" s="78"/>
      <c r="F6" s="78"/>
      <c r="G6" s="78"/>
      <c r="H6" s="78"/>
      <c r="I6" s="125">
        <f>IFERROR(VLOOKUP($A6,'Balancete 2016'!$A:$D,4,0),"0")</f>
        <v>230349612.99000001</v>
      </c>
      <c r="J6" s="95"/>
      <c r="K6" s="57"/>
      <c r="M6" s="87" t="str">
        <f>VLOOKUP(A6,'1 sem.15'!A:D,1,0)</f>
        <v>8.1.6.20.10</v>
      </c>
      <c r="N6" s="161" t="str">
        <f>VLOOKUP(A6,'1 sem.15'!A:D,3,0)</f>
        <v>DESPESAS DE AJUSTES EM INVEST EM COLIG E CONTROL</v>
      </c>
      <c r="O6" s="161">
        <f>VLOOKUP(A6,'1 sem.15'!A:D,4,0)</f>
        <v>91432682.060000002</v>
      </c>
      <c r="P6" s="100"/>
      <c r="Q6" s="95"/>
    </row>
    <row r="7" spans="1:17" s="93" customFormat="1">
      <c r="A7" s="84" t="s">
        <v>48</v>
      </c>
      <c r="B7" s="78">
        <v>-5</v>
      </c>
      <c r="C7" s="78" t="s">
        <v>427</v>
      </c>
      <c r="D7" s="125">
        <f>IFERROR(VLOOKUP($A7,'Balancete 2015'!$A:$D,4,0),"0")+O7</f>
        <v>105504353.59999999</v>
      </c>
      <c r="E7" s="78">
        <v>200</v>
      </c>
      <c r="F7" s="78"/>
      <c r="G7" s="78"/>
      <c r="H7" s="78"/>
      <c r="I7" s="125" t="str">
        <f>IFERROR(VLOOKUP($A7,'Balancete 2016'!$A:$D,4,0),"0")</f>
        <v>0</v>
      </c>
      <c r="J7" s="95"/>
      <c r="K7" s="57"/>
      <c r="M7" s="87" t="str">
        <f>VLOOKUP(A7,'1 sem.15'!A:D,1,0)</f>
        <v>8.1.6.20.10.20</v>
      </c>
      <c r="N7" s="161" t="str">
        <f>VLOOKUP(A7,'1 sem.15'!A:D,3,0)</f>
        <v>DESP AJ EM INVEST EM COLIG E CONTROL</v>
      </c>
      <c r="O7" s="161">
        <f>VLOOKUP(A7,'1 sem.15'!A:D,4,0)</f>
        <v>79311117.939999998</v>
      </c>
      <c r="P7" s="100"/>
      <c r="Q7" s="95"/>
    </row>
    <row r="8" spans="1:17" s="93" customFormat="1">
      <c r="A8" s="84" t="s">
        <v>49</v>
      </c>
      <c r="B8" s="78">
        <v>-3</v>
      </c>
      <c r="C8" s="78" t="s">
        <v>428</v>
      </c>
      <c r="D8" s="125">
        <f>IFERROR(VLOOKUP($A8,'Balancete 2015'!$A:$D,4,0),"0")+O8</f>
        <v>23761991.979999997</v>
      </c>
      <c r="E8" s="78">
        <v>200</v>
      </c>
      <c r="F8" s="78"/>
      <c r="G8" s="78"/>
      <c r="H8" s="78"/>
      <c r="I8" s="125">
        <f>IFERROR(VLOOKUP($A8,'Balancete 2016'!$A:$D,4,0),"0")</f>
        <v>20906999.82</v>
      </c>
      <c r="J8" s="95"/>
      <c r="K8" s="57"/>
      <c r="M8" s="87" t="str">
        <f>VLOOKUP(A8,'1 sem.15'!A:D,1,0)</f>
        <v>8.1.6.20.10.21</v>
      </c>
      <c r="N8" s="161" t="str">
        <f>VLOOKUP(A8,'1 sem.15'!A:D,3,0)</f>
        <v>DESP DE AJ EM INVEST/-/AMORT INTANG</v>
      </c>
      <c r="O8" s="161">
        <f>VLOOKUP(A8,'1 sem.15'!A:D,4,0)</f>
        <v>12121564.119999999</v>
      </c>
      <c r="P8" s="100"/>
      <c r="Q8" s="95"/>
    </row>
    <row r="9" spans="1:17" s="93" customFormat="1">
      <c r="A9" s="84" t="s">
        <v>50</v>
      </c>
      <c r="B9" s="78">
        <v>-2</v>
      </c>
      <c r="C9" s="78" t="s">
        <v>429</v>
      </c>
      <c r="D9" s="125">
        <f>IFERROR(VLOOKUP($A9,'Balancete 2015'!$A:$D,4,0),"0")+O9</f>
        <v>9208677</v>
      </c>
      <c r="E9" s="78">
        <v>200</v>
      </c>
      <c r="F9" s="78"/>
      <c r="G9" s="78"/>
      <c r="H9" s="78"/>
      <c r="I9" s="125">
        <f>IFERROR(VLOOKUP($A9,'Balancete 2016'!$A:$D,4,0),"0")</f>
        <v>13775086.5</v>
      </c>
      <c r="J9" s="95"/>
      <c r="K9" s="57"/>
      <c r="M9" s="87" t="str">
        <f>+A9</f>
        <v>8.1.6.20.10.30</v>
      </c>
      <c r="N9" s="161" t="str">
        <f>+C9</f>
        <v>DESP DE AJ EM INVEST - AJUSTE IFRS/CAIXAPAR</v>
      </c>
      <c r="O9" s="161">
        <v>0</v>
      </c>
      <c r="P9" s="100"/>
      <c r="Q9" s="95"/>
    </row>
    <row r="10" spans="1:17" s="93" customFormat="1">
      <c r="A10" s="89" t="s">
        <v>1025</v>
      </c>
      <c r="B10" s="89">
        <v>0</v>
      </c>
      <c r="C10" s="89" t="s">
        <v>1026</v>
      </c>
      <c r="D10" s="163"/>
      <c r="E10" s="78">
        <v>200</v>
      </c>
      <c r="F10" s="78"/>
      <c r="G10" s="78"/>
      <c r="H10" s="78"/>
      <c r="I10" s="125">
        <f>IFERROR(VLOOKUP($A10,'Balancete 2016'!$A:$D,4,0),"0")</f>
        <v>137242051.50999999</v>
      </c>
      <c r="J10" s="95"/>
      <c r="K10" s="57"/>
      <c r="M10" s="87"/>
      <c r="N10" s="161"/>
      <c r="O10" s="161"/>
      <c r="P10" s="100"/>
      <c r="Q10" s="95"/>
    </row>
    <row r="11" spans="1:17" s="93" customFormat="1">
      <c r="A11" s="89" t="s">
        <v>1027</v>
      </c>
      <c r="B11" s="89">
        <v>-9</v>
      </c>
      <c r="C11" s="89" t="s">
        <v>1028</v>
      </c>
      <c r="D11" s="163"/>
      <c r="E11" s="78">
        <v>200</v>
      </c>
      <c r="F11" s="78"/>
      <c r="G11" s="78"/>
      <c r="H11" s="78"/>
      <c r="I11" s="125">
        <f>IFERROR(VLOOKUP($A11,'Balancete 2016'!$A:$D,4,0),"0")</f>
        <v>43848670.549999997</v>
      </c>
      <c r="J11" s="95"/>
      <c r="K11" s="57"/>
      <c r="M11" s="87"/>
      <c r="N11" s="161"/>
      <c r="O11" s="161"/>
      <c r="P11" s="100"/>
      <c r="Q11" s="95"/>
    </row>
    <row r="12" spans="1:17" s="93" customFormat="1">
      <c r="A12" s="89" t="s">
        <v>1029</v>
      </c>
      <c r="B12" s="89">
        <v>-7</v>
      </c>
      <c r="C12" s="89" t="s">
        <v>1030</v>
      </c>
      <c r="D12" s="163"/>
      <c r="E12" s="78">
        <v>200</v>
      </c>
      <c r="F12" s="78"/>
      <c r="G12" s="78"/>
      <c r="H12" s="78"/>
      <c r="I12" s="125">
        <f>IFERROR(VLOOKUP($A12,'Balancete 2016'!$A:$D,4,0),"0")</f>
        <v>33671.15</v>
      </c>
      <c r="J12" s="95"/>
      <c r="K12" s="57"/>
      <c r="M12" s="87"/>
      <c r="N12" s="161"/>
      <c r="O12" s="161"/>
      <c r="P12" s="100"/>
      <c r="Q12" s="95"/>
    </row>
    <row r="13" spans="1:17" s="93" customFormat="1">
      <c r="A13" s="89" t="s">
        <v>1031</v>
      </c>
      <c r="B13" s="89">
        <v>-5</v>
      </c>
      <c r="C13" s="89" t="s">
        <v>1032</v>
      </c>
      <c r="D13" s="163"/>
      <c r="E13" s="78">
        <v>200</v>
      </c>
      <c r="F13" s="78"/>
      <c r="G13" s="78"/>
      <c r="H13" s="78"/>
      <c r="I13" s="125">
        <f>IFERROR(VLOOKUP($A13,'Balancete 2016'!$A:$D,4,0),"0")</f>
        <v>1313609.95</v>
      </c>
      <c r="J13" s="95"/>
      <c r="K13" s="57"/>
      <c r="M13" s="87"/>
      <c r="N13" s="161"/>
      <c r="O13" s="161"/>
      <c r="P13" s="100"/>
      <c r="Q13" s="95"/>
    </row>
    <row r="14" spans="1:17" s="93" customFormat="1">
      <c r="A14" s="89" t="s">
        <v>1033</v>
      </c>
      <c r="B14" s="89">
        <v>-1</v>
      </c>
      <c r="C14" s="89" t="s">
        <v>1034</v>
      </c>
      <c r="D14" s="163"/>
      <c r="E14" s="78">
        <v>200</v>
      </c>
      <c r="F14" s="78"/>
      <c r="G14" s="78"/>
      <c r="H14" s="78"/>
      <c r="I14" s="125">
        <f>IFERROR(VLOOKUP($A14,'Balancete 2016'!$A:$D,4,0),"0")</f>
        <v>10080779.98</v>
      </c>
      <c r="J14" s="95"/>
      <c r="K14" s="57"/>
      <c r="M14" s="87"/>
      <c r="N14" s="161"/>
      <c r="O14" s="161"/>
      <c r="P14" s="100"/>
      <c r="Q14" s="95"/>
    </row>
    <row r="15" spans="1:17" s="93" customFormat="1">
      <c r="A15" s="89" t="s">
        <v>1035</v>
      </c>
      <c r="B15" s="89">
        <v>0</v>
      </c>
      <c r="C15" s="89" t="s">
        <v>1036</v>
      </c>
      <c r="D15" s="163"/>
      <c r="E15" s="78">
        <v>200</v>
      </c>
      <c r="F15" s="78"/>
      <c r="G15" s="78"/>
      <c r="H15" s="78"/>
      <c r="I15" s="125">
        <f>IFERROR(VLOOKUP($A15,'Balancete 2016'!$A:$D,4,0),"0")</f>
        <v>421748.44</v>
      </c>
      <c r="J15" s="95"/>
      <c r="K15" s="57"/>
      <c r="M15" s="87"/>
      <c r="N15" s="161"/>
      <c r="O15" s="161"/>
      <c r="P15" s="100"/>
      <c r="Q15" s="95"/>
    </row>
    <row r="16" spans="1:17" s="93" customFormat="1">
      <c r="A16" s="89" t="s">
        <v>1037</v>
      </c>
      <c r="B16" s="89">
        <v>-8</v>
      </c>
      <c r="C16" s="89" t="s">
        <v>1038</v>
      </c>
      <c r="D16" s="163"/>
      <c r="E16" s="78">
        <v>200</v>
      </c>
      <c r="F16" s="78"/>
      <c r="G16" s="78"/>
      <c r="H16" s="78"/>
      <c r="I16" s="125">
        <f>IFERROR(VLOOKUP($A16,'Balancete 2016'!$A:$D,4,0),"0")</f>
        <v>651422.4</v>
      </c>
      <c r="J16" s="95"/>
      <c r="K16" s="57"/>
      <c r="M16" s="87"/>
      <c r="N16" s="161"/>
      <c r="O16" s="161"/>
      <c r="P16" s="100"/>
      <c r="Q16" s="95"/>
    </row>
    <row r="17" spans="1:17" s="93" customFormat="1">
      <c r="A17" s="89" t="s">
        <v>1039</v>
      </c>
      <c r="B17" s="89">
        <v>-6</v>
      </c>
      <c r="C17" s="89" t="s">
        <v>1040</v>
      </c>
      <c r="D17" s="163"/>
      <c r="E17" s="78">
        <v>200</v>
      </c>
      <c r="F17" s="78"/>
      <c r="G17" s="78"/>
      <c r="H17" s="78"/>
      <c r="I17" s="125">
        <f>IFERROR(VLOOKUP($A17,'Balancete 2016'!$A:$D,4,0),"0")</f>
        <v>2075572.69</v>
      </c>
      <c r="J17" s="95"/>
      <c r="K17" s="57"/>
      <c r="M17" s="87"/>
      <c r="N17" s="161"/>
      <c r="O17" s="161"/>
      <c r="P17" s="100"/>
      <c r="Q17" s="95"/>
    </row>
    <row r="18" spans="1:17">
      <c r="A18" s="30" t="s">
        <v>51</v>
      </c>
      <c r="B18" s="29">
        <v>-6</v>
      </c>
      <c r="C18" s="29" t="s">
        <v>52</v>
      </c>
      <c r="D18" s="71">
        <f>IFERROR(VLOOKUP($A18,'Balancete 2015'!$A:$D,4,0),"0")+O18</f>
        <v>12800692.210000001</v>
      </c>
      <c r="E18" s="29"/>
      <c r="F18" s="29"/>
      <c r="G18" s="29"/>
      <c r="H18" s="29"/>
      <c r="I18" s="125">
        <f>IFERROR(VLOOKUP($A18,'Balancete 2016'!$A:$D,4,0),"0")</f>
        <v>14775312.08</v>
      </c>
      <c r="J18" s="6"/>
      <c r="K18" s="57"/>
      <c r="M18" s="87" t="str">
        <f>VLOOKUP(A18,'1 sem.15'!A:D,1,0)</f>
        <v>8.1.7</v>
      </c>
      <c r="N18" s="88" t="str">
        <f>VLOOKUP(A18,'1 sem.15'!A:D,3,0)</f>
        <v>DESPESAS ADMINISTRATIVAS</v>
      </c>
      <c r="O18" s="88">
        <f>VLOOKUP(A18,'1 sem.15'!A:D,4,0)</f>
        <v>6376884.5499999998</v>
      </c>
      <c r="P18" s="7"/>
      <c r="Q18" s="6"/>
    </row>
    <row r="19" spans="1:17" s="93" customFormat="1">
      <c r="A19" s="84" t="s">
        <v>53</v>
      </c>
      <c r="B19" s="78">
        <v>0</v>
      </c>
      <c r="C19" s="78" t="s">
        <v>54</v>
      </c>
      <c r="D19" s="125">
        <f>IFERROR(VLOOKUP($A19,'Balancete 2015'!$A:$D,4,0),"0")+O19</f>
        <v>23447.510000000002</v>
      </c>
      <c r="E19" s="78">
        <v>400</v>
      </c>
      <c r="F19" s="78">
        <v>100</v>
      </c>
      <c r="G19" s="78">
        <v>900</v>
      </c>
      <c r="H19" s="78"/>
      <c r="I19" s="125">
        <f>IFERROR(VLOOKUP($A19,'Balancete 2016'!$A:$D,4,0),"0")</f>
        <v>25918.45</v>
      </c>
      <c r="J19" s="95"/>
      <c r="K19" s="57"/>
      <c r="M19" s="87" t="str">
        <f>VLOOKUP(A19,'1 sem.15'!A:D,1,0)</f>
        <v>8.1.7.03</v>
      </c>
      <c r="N19" s="161" t="str">
        <f>VLOOKUP(A19,'1 sem.15'!A:D,3,0)</f>
        <v>DESPESAS DE AGUA ENERGIA E GAS</v>
      </c>
      <c r="O19" s="161">
        <f>VLOOKUP(A19,'1 sem.15'!A:D,4,0)</f>
        <v>10245.780000000001</v>
      </c>
      <c r="P19" s="100"/>
      <c r="Q19" s="95"/>
    </row>
    <row r="20" spans="1:17">
      <c r="A20" s="30" t="s">
        <v>55</v>
      </c>
      <c r="B20" s="29">
        <v>-1</v>
      </c>
      <c r="C20" s="29" t="s">
        <v>430</v>
      </c>
      <c r="D20" s="71">
        <f>IFERROR(VLOOKUP($A20,'Balancete 2015'!$A:$D,4,0),"0")+O20</f>
        <v>23447.510000000002</v>
      </c>
      <c r="E20" s="29"/>
      <c r="F20" s="29"/>
      <c r="G20" s="29"/>
      <c r="H20" s="29"/>
      <c r="I20" s="125">
        <f>IFERROR(VLOOKUP($A20,'Balancete 2016'!$A:$D,4,0),"0")</f>
        <v>25918.45</v>
      </c>
      <c r="J20" s="6"/>
      <c r="K20" s="57"/>
      <c r="M20" s="87" t="str">
        <f>VLOOKUP(A20,'1 sem.15'!A:D,1,0)</f>
        <v>8.1.7.03.11</v>
      </c>
      <c r="N20" s="88" t="str">
        <f>VLOOKUP(A20,'1 sem.15'!A:D,3,0)</f>
        <v>DESPESAS DE AGUA ENERGIA E GAS</v>
      </c>
      <c r="O20" s="88">
        <f>VLOOKUP(A20,'1 sem.15'!A:D,4,0)</f>
        <v>10245.780000000001</v>
      </c>
      <c r="P20" s="7"/>
      <c r="Q20" s="6"/>
    </row>
    <row r="21" spans="1:17">
      <c r="A21" s="30" t="s">
        <v>56</v>
      </c>
      <c r="B21" s="29">
        <v>0</v>
      </c>
      <c r="C21" s="29" t="s">
        <v>431</v>
      </c>
      <c r="D21" s="71">
        <f>IFERROR(VLOOKUP($A21,'Balancete 2015'!$A:$D,4,0),"0")+O21</f>
        <v>23447.510000000002</v>
      </c>
      <c r="E21" s="29"/>
      <c r="F21" s="29"/>
      <c r="G21" s="29"/>
      <c r="H21" s="29"/>
      <c r="I21" s="125">
        <f>IFERROR(VLOOKUP($A21,'Balancete 2016'!$A:$D,4,0),"0")</f>
        <v>25918.45</v>
      </c>
      <c r="J21" s="6"/>
      <c r="K21" s="57"/>
      <c r="M21" s="87" t="str">
        <f>VLOOKUP(A21,'1 sem.15'!A:D,1,0)</f>
        <v>8.1.7.03.11.01</v>
      </c>
      <c r="N21" s="88" t="str">
        <f>VLOOKUP(A21,'1 sem.15'!A:D,3,0)</f>
        <v>DESPESAS C/ CONSUMO DE AGUA E ENERGIA</v>
      </c>
      <c r="O21" s="88">
        <f>VLOOKUP(A21,'1 sem.15'!A:D,4,0)</f>
        <v>10245.780000000001</v>
      </c>
      <c r="P21" s="7"/>
      <c r="Q21" s="6"/>
    </row>
    <row r="22" spans="1:17" s="93" customFormat="1">
      <c r="A22" s="84" t="s">
        <v>57</v>
      </c>
      <c r="B22" s="78">
        <v>-3</v>
      </c>
      <c r="C22" s="78" t="s">
        <v>58</v>
      </c>
      <c r="D22" s="125">
        <f>IFERROR(VLOOKUP($A22,'Balancete 2015'!$A:$D,4,0),"0")+O22</f>
        <v>255487.14</v>
      </c>
      <c r="E22" s="78">
        <v>400</v>
      </c>
      <c r="F22" s="78"/>
      <c r="G22" s="78">
        <v>700</v>
      </c>
      <c r="H22" s="78"/>
      <c r="I22" s="125">
        <f>IFERROR(VLOOKUP($A22,'Balancete 2016'!$A:$D,4,0),"0")</f>
        <v>255681.24</v>
      </c>
      <c r="J22" s="95"/>
      <c r="K22" s="57"/>
      <c r="M22" s="87" t="str">
        <f>VLOOKUP(A22,'1 sem.15'!A:D,1,0)</f>
        <v>8.1.7.06</v>
      </c>
      <c r="N22" s="161" t="str">
        <f>VLOOKUP(A22,'1 sem.15'!A:D,3,0)</f>
        <v>DESPESAS DE ALUGUEIS</v>
      </c>
      <c r="O22" s="161">
        <f>VLOOKUP(A22,'1 sem.15'!A:D,4,0)</f>
        <v>127646.54</v>
      </c>
      <c r="P22" s="100"/>
      <c r="Q22" s="95"/>
    </row>
    <row r="23" spans="1:17">
      <c r="A23" s="30" t="s">
        <v>59</v>
      </c>
      <c r="B23" s="29">
        <v>-5</v>
      </c>
      <c r="C23" s="29" t="s">
        <v>432</v>
      </c>
      <c r="D23" s="71">
        <f>IFERROR(VLOOKUP($A23,'Balancete 2015'!$A:$D,4,0),"0")+O23</f>
        <v>255487.14</v>
      </c>
      <c r="E23" s="29"/>
      <c r="F23" s="29"/>
      <c r="G23" s="29"/>
      <c r="H23" s="29"/>
      <c r="I23" s="125">
        <f>IFERROR(VLOOKUP($A23,'Balancete 2016'!$A:$D,4,0),"0")</f>
        <v>255681.24</v>
      </c>
      <c r="J23" s="6"/>
      <c r="K23" s="57"/>
      <c r="M23" s="87" t="str">
        <f>VLOOKUP(A23,'1 sem.15'!A:D,1,0)</f>
        <v>8.1.7.06.11</v>
      </c>
      <c r="N23" s="88" t="str">
        <f>VLOOKUP(A23,'1 sem.15'!A:D,3,0)</f>
        <v>DESPESAS DE ALUGUEIS</v>
      </c>
      <c r="O23" s="88">
        <f>VLOOKUP(A23,'1 sem.15'!A:D,4,0)</f>
        <v>127646.54</v>
      </c>
      <c r="P23" s="7"/>
      <c r="Q23" s="6"/>
    </row>
    <row r="24" spans="1:17">
      <c r="A24" s="30" t="s">
        <v>60</v>
      </c>
      <c r="B24" s="29">
        <v>-3</v>
      </c>
      <c r="C24" s="29" t="s">
        <v>432</v>
      </c>
      <c r="D24" s="71">
        <f>IFERROR(VLOOKUP($A24,'Balancete 2015'!$A:$D,4,0),"0")+O24</f>
        <v>255487.14</v>
      </c>
      <c r="E24" s="29"/>
      <c r="F24" s="29"/>
      <c r="G24" s="29"/>
      <c r="H24" s="29"/>
      <c r="I24" s="125">
        <f>IFERROR(VLOOKUP($A24,'Balancete 2016'!$A:$D,4,0),"0")</f>
        <v>255681.24</v>
      </c>
      <c r="J24" s="6"/>
      <c r="K24" s="57"/>
      <c r="M24" s="87" t="str">
        <f>VLOOKUP(A24,'1 sem.15'!A:D,1,0)</f>
        <v>8.1.7.06.11.01</v>
      </c>
      <c r="N24" s="88" t="str">
        <f>VLOOKUP(A24,'1 sem.15'!A:D,3,0)</f>
        <v>DESPESAS DE ALUGUEIS</v>
      </c>
      <c r="O24" s="88">
        <f>VLOOKUP(A24,'1 sem.15'!A:D,4,0)</f>
        <v>127646.54</v>
      </c>
      <c r="P24" s="7"/>
      <c r="Q24" s="6"/>
    </row>
    <row r="25" spans="1:17" s="93" customFormat="1">
      <c r="A25" s="84" t="s">
        <v>61</v>
      </c>
      <c r="B25" s="78">
        <v>-6</v>
      </c>
      <c r="C25" s="78" t="s">
        <v>62</v>
      </c>
      <c r="D25" s="125">
        <f>IFERROR(VLOOKUP($A25,'Balancete 2015'!$A:$D,4,0),"0")+O25</f>
        <v>3029463.8600000003</v>
      </c>
      <c r="E25" s="78">
        <v>400</v>
      </c>
      <c r="F25" s="78"/>
      <c r="G25" s="78">
        <v>600</v>
      </c>
      <c r="H25" s="78"/>
      <c r="I25" s="125">
        <f>IFERROR(VLOOKUP($A25,'Balancete 2016'!$A:$D,4,0),"0")</f>
        <v>3062158.43</v>
      </c>
      <c r="J25" s="95"/>
      <c r="K25" s="57"/>
      <c r="M25" s="87" t="str">
        <f>VLOOKUP(A25,'1 sem.15'!A:D,1,0)</f>
        <v>8.1.7.18</v>
      </c>
      <c r="N25" s="161" t="str">
        <f>VLOOKUP(A25,'1 sem.15'!A:D,3,0)</f>
        <v>DESPESAS DE HONORARIOS</v>
      </c>
      <c r="O25" s="161">
        <f>VLOOKUP(A25,'1 sem.15'!A:D,4,0)</f>
        <v>1430071.61</v>
      </c>
      <c r="P25" s="100"/>
      <c r="Q25" s="95"/>
    </row>
    <row r="26" spans="1:17">
      <c r="A26" s="30" t="s">
        <v>63</v>
      </c>
      <c r="B26" s="29">
        <v>-3</v>
      </c>
      <c r="C26" s="29" t="s">
        <v>433</v>
      </c>
      <c r="D26" s="71">
        <f>IFERROR(VLOOKUP($A26,'Balancete 2015'!$A:$D,4,0),"0")+O26</f>
        <v>3029463.8600000003</v>
      </c>
      <c r="E26" s="29"/>
      <c r="F26" s="29"/>
      <c r="G26" s="29"/>
      <c r="H26" s="29"/>
      <c r="I26" s="125">
        <f>IFERROR(VLOOKUP($A26,'Balancete 2016'!$A:$D,4,0),"0")</f>
        <v>3062158.43</v>
      </c>
      <c r="J26" s="6"/>
      <c r="K26" s="57"/>
      <c r="M26" s="87" t="str">
        <f>VLOOKUP(A26,'1 sem.15'!A:D,1,0)</f>
        <v>8.1.7.18.21</v>
      </c>
      <c r="N26" s="88" t="str">
        <f>VLOOKUP(A26,'1 sem.15'!A:D,3,0)</f>
        <v>DIRETORIA E CONSELHO DE ADMINISTRACAO</v>
      </c>
      <c r="O26" s="88">
        <f>VLOOKUP(A26,'1 sem.15'!A:D,4,0)</f>
        <v>1430071.61</v>
      </c>
      <c r="P26" s="7"/>
      <c r="Q26" s="6"/>
    </row>
    <row r="27" spans="1:17">
      <c r="A27" s="30" t="s">
        <v>64</v>
      </c>
      <c r="B27" s="29">
        <v>-1</v>
      </c>
      <c r="C27" s="29" t="s">
        <v>803</v>
      </c>
      <c r="D27" s="71">
        <f>IFERROR(VLOOKUP($A27,'Balancete 2015'!$A:$D,4,0),"0")+O27</f>
        <v>1908262.88</v>
      </c>
      <c r="E27" s="29"/>
      <c r="F27" s="29"/>
      <c r="G27" s="29"/>
      <c r="H27" s="29"/>
      <c r="I27" s="125">
        <f>IFERROR(VLOOKUP($A27,'Balancete 2016'!$A:$D,4,0),"0")</f>
        <v>1891081.36</v>
      </c>
      <c r="J27" s="6"/>
      <c r="K27" s="57"/>
      <c r="M27" s="87" t="str">
        <f>VLOOKUP(A27,'1 sem.15'!A:D,1,0)</f>
        <v>8.1.7.18.21.01</v>
      </c>
      <c r="N27" s="88" t="str">
        <f>VLOOKUP(A27,'1 sem.15'!A:D,3,0)</f>
        <v>DESP DE HONOR - DIRETORIA/CONS DE ADMINISTRACAO</v>
      </c>
      <c r="O27" s="88">
        <f>VLOOKUP(A27,'1 sem.15'!A:D,4,0)</f>
        <v>894987.82</v>
      </c>
      <c r="P27" s="7"/>
      <c r="Q27" s="6"/>
    </row>
    <row r="28" spans="1:17">
      <c r="A28" s="30" t="s">
        <v>65</v>
      </c>
      <c r="B28" s="29">
        <v>0</v>
      </c>
      <c r="C28" s="29" t="s">
        <v>434</v>
      </c>
      <c r="D28" s="71">
        <f>IFERROR(VLOOKUP($A28,'Balancete 2015'!$A:$D,4,0),"0")+O28</f>
        <v>177394.27000000002</v>
      </c>
      <c r="E28" s="29"/>
      <c r="F28" s="29"/>
      <c r="G28" s="29"/>
      <c r="H28" s="29"/>
      <c r="I28" s="125">
        <f>IFERROR(VLOOKUP($A28,'Balancete 2016'!$A:$D,4,0),"0")</f>
        <v>199366.42</v>
      </c>
      <c r="J28" s="6"/>
      <c r="K28" s="57"/>
      <c r="M28" s="87" t="str">
        <f>VLOOKUP(A28,'1 sem.15'!A:D,1,0)</f>
        <v>8.1.7.18.21.02</v>
      </c>
      <c r="N28" s="88" t="str">
        <f>VLOOKUP(A28,'1 sem.15'!A:D,3,0)</f>
        <v>DESPESAS COM FGTS - DIRETORIA</v>
      </c>
      <c r="O28" s="88">
        <f>VLOOKUP(A28,'1 sem.15'!A:D,4,0)</f>
        <v>80861.39</v>
      </c>
      <c r="P28" s="7"/>
      <c r="Q28" s="6"/>
    </row>
    <row r="29" spans="1:17">
      <c r="A29" s="30" t="s">
        <v>66</v>
      </c>
      <c r="B29" s="29">
        <v>-8</v>
      </c>
      <c r="C29" s="29" t="s">
        <v>435</v>
      </c>
      <c r="D29" s="71">
        <f>IFERROR(VLOOKUP($A29,'Balancete 2015'!$A:$D,4,0),"0")+O29</f>
        <v>510448.33999999997</v>
      </c>
      <c r="E29" s="29"/>
      <c r="F29" s="29"/>
      <c r="G29" s="29"/>
      <c r="H29" s="29"/>
      <c r="I29" s="125">
        <f>IFERROR(VLOOKUP($A29,'Balancete 2016'!$A:$D,4,0),"0")</f>
        <v>574947.17000000004</v>
      </c>
      <c r="J29" s="6"/>
      <c r="K29" s="57"/>
      <c r="M29" s="87" t="str">
        <f>VLOOKUP(A29,'1 sem.15'!A:D,1,0)</f>
        <v>8.1.7.18.21.03</v>
      </c>
      <c r="N29" s="88" t="str">
        <f>VLOOKUP(A29,'1 sem.15'!A:D,3,0)</f>
        <v>DESPESAS COM INSS - DIRETORIA</v>
      </c>
      <c r="O29" s="88">
        <f>VLOOKUP(A29,'1 sem.15'!A:D,4,0)</f>
        <v>219637.62</v>
      </c>
      <c r="P29" s="7"/>
      <c r="Q29" s="6"/>
    </row>
    <row r="30" spans="1:17">
      <c r="A30" s="30" t="s">
        <v>67</v>
      </c>
      <c r="B30" s="29">
        <v>-4</v>
      </c>
      <c r="C30" s="29" t="s">
        <v>436</v>
      </c>
      <c r="D30" s="71">
        <f>IFERROR(VLOOKUP($A30,'Balancete 2015'!$A:$D,4,0),"0")+O30</f>
        <v>42969.42</v>
      </c>
      <c r="E30" s="29"/>
      <c r="F30" s="29"/>
      <c r="G30" s="29"/>
      <c r="H30" s="29"/>
      <c r="I30" s="125">
        <f>IFERROR(VLOOKUP($A30,'Balancete 2016'!$A:$D,4,0),"0")</f>
        <v>147154.07</v>
      </c>
      <c r="J30" s="6"/>
      <c r="K30" s="57"/>
      <c r="M30" s="87" t="str">
        <f>VLOOKUP(A30,'1 sem.15'!A:D,1,0)</f>
        <v>8.1.7.18.21.05</v>
      </c>
      <c r="N30" s="88" t="str">
        <f>VLOOKUP(A30,'1 sem.15'!A:D,3,0)</f>
        <v>DESPESAS C/ FUNCEF - DIRETORIA</v>
      </c>
      <c r="O30" s="88">
        <f>VLOOKUP(A30,'1 sem.15'!A:D,4,0)</f>
        <v>32406.45</v>
      </c>
      <c r="P30" s="7"/>
      <c r="Q30" s="6"/>
    </row>
    <row r="31" spans="1:17">
      <c r="A31" s="30" t="s">
        <v>68</v>
      </c>
      <c r="B31" s="29">
        <v>0</v>
      </c>
      <c r="C31" s="29" t="s">
        <v>437</v>
      </c>
      <c r="D31" s="71">
        <f>IFERROR(VLOOKUP($A31,'Balancete 2015'!$A:$D,4,0),"0")+O31</f>
        <v>64322.600000000006</v>
      </c>
      <c r="E31" s="29"/>
      <c r="F31" s="29"/>
      <c r="G31" s="29"/>
      <c r="H31" s="29"/>
      <c r="I31" s="125">
        <f>IFERROR(VLOOKUP($A31,'Balancete 2016'!$A:$D,4,0),"0")</f>
        <v>44904</v>
      </c>
      <c r="J31" s="6"/>
      <c r="K31" s="57"/>
      <c r="M31" s="87" t="str">
        <f>VLOOKUP(A31,'1 sem.15'!A:D,1,0)</f>
        <v>8.1.7.18.21.07</v>
      </c>
      <c r="N31" s="88" t="str">
        <f>VLOOKUP(A31,'1 sem.15'!A:D,3,0)</f>
        <v>DESP AUX ALIMENTACAO - DIRETORIA</v>
      </c>
      <c r="O31" s="88">
        <f>VLOOKUP(A31,'1 sem.15'!A:D,4,0)</f>
        <v>24075.84</v>
      </c>
      <c r="P31" s="7"/>
      <c r="Q31" s="6"/>
    </row>
    <row r="32" spans="1:17">
      <c r="A32" s="30" t="s">
        <v>438</v>
      </c>
      <c r="B32" s="29">
        <v>0</v>
      </c>
      <c r="C32" s="29" t="s">
        <v>439</v>
      </c>
      <c r="D32" s="71">
        <f>IFERROR(VLOOKUP($A32,'Balancete 2015'!$A:$D,4,0),"0")+O32</f>
        <v>150327.41</v>
      </c>
      <c r="E32" s="29"/>
      <c r="F32" s="29"/>
      <c r="G32" s="29"/>
      <c r="H32" s="29"/>
      <c r="I32" s="125">
        <f>IFERROR(VLOOKUP($A32,'Balancete 2016'!$A:$D,4,0),"0")</f>
        <v>37300.35</v>
      </c>
      <c r="J32" s="6"/>
      <c r="K32" s="57"/>
      <c r="M32" s="87" t="str">
        <f>VLOOKUP(A32,'1 sem.15'!A:D,1,0)</f>
        <v>8.1.7.18.21.10</v>
      </c>
      <c r="N32" s="88" t="str">
        <f>VLOOKUP(A32,'1 sem.15'!A:D,3,0)</f>
        <v>DESP DE PROV DE 13º SAL - DIRETORIA</v>
      </c>
      <c r="O32" s="88">
        <f>VLOOKUP(A32,'1 sem.15'!A:D,4,0)</f>
        <v>74052.91</v>
      </c>
      <c r="P32" s="7"/>
      <c r="Q32" s="6"/>
    </row>
    <row r="33" spans="1:17">
      <c r="A33" s="30" t="s">
        <v>440</v>
      </c>
      <c r="B33" s="29">
        <v>-9</v>
      </c>
      <c r="C33" s="29" t="s">
        <v>441</v>
      </c>
      <c r="D33" s="71">
        <f>IFERROR(VLOOKUP($A33,'Balancete 2015'!$A:$D,4,0),"0")+O33</f>
        <v>12026.189999999999</v>
      </c>
      <c r="E33" s="29"/>
      <c r="F33" s="29"/>
      <c r="G33" s="29"/>
      <c r="H33" s="29"/>
      <c r="I33" s="125">
        <f>IFERROR(VLOOKUP($A33,'Balancete 2016'!$A:$D,4,0),"0")</f>
        <v>9602.9599999999991</v>
      </c>
      <c r="J33" s="6"/>
      <c r="K33" s="57"/>
      <c r="M33" s="87" t="str">
        <f>VLOOKUP(A33,'1 sem.15'!A:D,1,0)</f>
        <v>8.1.7.18.21.11</v>
      </c>
      <c r="N33" s="88" t="str">
        <f>VLOOKUP(A33,'1 sem.15'!A:D,3,0)</f>
        <v>DESP DE FGTS S/13º SAL - DIRETORIA</v>
      </c>
      <c r="O33" s="88">
        <f>VLOOKUP(A33,'1 sem.15'!A:D,4,0)</f>
        <v>5924.23</v>
      </c>
      <c r="P33" s="7"/>
      <c r="Q33" s="6"/>
    </row>
    <row r="34" spans="1:17">
      <c r="A34" s="30" t="s">
        <v>442</v>
      </c>
      <c r="B34" s="29">
        <v>-7</v>
      </c>
      <c r="C34" s="29" t="s">
        <v>443</v>
      </c>
      <c r="D34" s="71">
        <f>IFERROR(VLOOKUP($A34,'Balancete 2015'!$A:$D,4,0),"0")+O34</f>
        <v>30065.48</v>
      </c>
      <c r="E34" s="29"/>
      <c r="F34" s="29"/>
      <c r="G34" s="29"/>
      <c r="H34" s="29"/>
      <c r="I34" s="125">
        <f>IFERROR(VLOOKUP($A34,'Balancete 2016'!$A:$D,4,0),"0")</f>
        <v>29683.919999999998</v>
      </c>
      <c r="J34" s="6"/>
      <c r="K34" s="57"/>
      <c r="M34" s="87" t="str">
        <f>VLOOKUP(A34,'1 sem.15'!A:D,1,0)</f>
        <v>8.1.7.18.21.12</v>
      </c>
      <c r="N34" s="88" t="str">
        <f>VLOOKUP(A34,'1 sem.15'!A:D,3,0)</f>
        <v>DESP C/ INSS - DIRETORIA</v>
      </c>
      <c r="O34" s="88">
        <f>VLOOKUP(A34,'1 sem.15'!A:D,4,0)</f>
        <v>14810.58</v>
      </c>
      <c r="P34" s="7"/>
      <c r="Q34" s="6"/>
    </row>
    <row r="35" spans="1:17">
      <c r="A35" s="30" t="s">
        <v>444</v>
      </c>
      <c r="B35" s="29">
        <v>-5</v>
      </c>
      <c r="C35" s="29" t="s">
        <v>445</v>
      </c>
      <c r="D35" s="71">
        <f>IFERROR(VLOOKUP($A35,'Balancete 2015'!$A:$D,4,0),"0")+O35</f>
        <v>18039.29</v>
      </c>
      <c r="E35" s="29"/>
      <c r="F35" s="29"/>
      <c r="G35" s="29"/>
      <c r="H35" s="29"/>
      <c r="I35" s="125">
        <f>IFERROR(VLOOKUP($A35,'Balancete 2016'!$A:$D,4,0),"0")</f>
        <v>10414.31</v>
      </c>
      <c r="J35" s="6"/>
      <c r="K35" s="57"/>
      <c r="M35" s="87" t="str">
        <f>VLOOKUP(A35,'1 sem.15'!A:D,1,0)</f>
        <v>8.1.7.18.21.13</v>
      </c>
      <c r="N35" s="88" t="str">
        <f>VLOOKUP(A35,'1 sem.15'!A:D,3,0)</f>
        <v>DESP C/ FUNCEF S/13ºSAL - DIRETORIA</v>
      </c>
      <c r="O35" s="88">
        <f>VLOOKUP(A35,'1 sem.15'!A:D,4,0)</f>
        <v>8886.35</v>
      </c>
      <c r="P35" s="7"/>
      <c r="Q35" s="6"/>
    </row>
    <row r="36" spans="1:17">
      <c r="A36" s="30" t="s">
        <v>69</v>
      </c>
      <c r="B36" s="29">
        <v>-3</v>
      </c>
      <c r="C36" s="29" t="s">
        <v>446</v>
      </c>
      <c r="D36" s="71">
        <f>IFERROR(VLOOKUP($A36,'Balancete 2015'!$A:$D,4,0),"0")+O36</f>
        <v>64783.659999999996</v>
      </c>
      <c r="E36" s="29"/>
      <c r="F36" s="29"/>
      <c r="G36" s="29"/>
      <c r="H36" s="29"/>
      <c r="I36" s="125">
        <f>IFERROR(VLOOKUP($A36,'Balancete 2016'!$A:$D,4,0),"0")</f>
        <v>30852.19</v>
      </c>
      <c r="J36" s="6"/>
      <c r="K36" s="57"/>
      <c r="M36" s="87" t="str">
        <f>VLOOKUP(A36,'1 sem.15'!A:D,1,0)</f>
        <v>8.1.7.18.21.14</v>
      </c>
      <c r="N36" s="88" t="str">
        <f>VLOOKUP(A36,'1 sem.15'!A:D,3,0)</f>
        <v>DESP DE PROV DE FERIAS - DIRETORIA</v>
      </c>
      <c r="O36" s="88">
        <f>VLOOKUP(A36,'1 sem.15'!A:D,4,0)</f>
        <v>30028.39</v>
      </c>
      <c r="P36" s="7"/>
      <c r="Q36" s="6"/>
    </row>
    <row r="37" spans="1:17">
      <c r="A37" s="30" t="s">
        <v>70</v>
      </c>
      <c r="B37" s="29">
        <v>-1</v>
      </c>
      <c r="C37" s="29" t="s">
        <v>447</v>
      </c>
      <c r="D37" s="71">
        <f>IFERROR(VLOOKUP($A37,'Balancete 2015'!$A:$D,4,0),"0")+O37</f>
        <v>34747.85</v>
      </c>
      <c r="E37" s="29"/>
      <c r="F37" s="29"/>
      <c r="G37" s="29"/>
      <c r="H37" s="29"/>
      <c r="I37" s="125">
        <f>IFERROR(VLOOKUP($A37,'Balancete 2016'!$A:$D,4,0),"0")</f>
        <v>64239.23</v>
      </c>
      <c r="J37" s="6"/>
      <c r="K37" s="57"/>
      <c r="M37" s="87" t="str">
        <f>VLOOKUP(A37,'1 sem.15'!A:D,1,0)</f>
        <v>8.1.7.18.21.15</v>
      </c>
      <c r="N37" s="88" t="str">
        <f>VLOOKUP(A37,'1 sem.15'!A:D,3,0)</f>
        <v>DESP C/ PROV LICENCA PREMIO - DIRETORIA</v>
      </c>
      <c r="O37" s="88">
        <f>VLOOKUP(A37,'1 sem.15'!A:D,4,0)</f>
        <v>34747.85</v>
      </c>
      <c r="P37" s="7"/>
      <c r="Q37" s="6"/>
    </row>
    <row r="38" spans="1:17">
      <c r="A38" s="30" t="s">
        <v>71</v>
      </c>
      <c r="B38" s="29">
        <v>0</v>
      </c>
      <c r="C38" s="29" t="s">
        <v>448</v>
      </c>
      <c r="D38" s="71">
        <f>IFERROR(VLOOKUP($A38,'Balancete 2015'!$A:$D,4,0),"0")+O38</f>
        <v>16076.470000000001</v>
      </c>
      <c r="E38" s="29"/>
      <c r="F38" s="29"/>
      <c r="G38" s="29"/>
      <c r="H38" s="29"/>
      <c r="I38" s="125">
        <f>IFERROR(VLOOKUP($A38,'Balancete 2016'!$A:$D,4,0),"0")</f>
        <v>22612.45</v>
      </c>
      <c r="J38" s="6"/>
      <c r="K38" s="57"/>
      <c r="M38" s="87" t="str">
        <f>VLOOKUP(A38,'1 sem.15'!A:D,1,0)</f>
        <v>8.1.7.18.21.16</v>
      </c>
      <c r="N38" s="88" t="str">
        <f>VLOOKUP(A38,'1 sem.15'!A:D,3,0)</f>
        <v>DESP C/ PROV DE APIP - DIRETORIA</v>
      </c>
      <c r="O38" s="88">
        <f>VLOOKUP(A38,'1 sem.15'!A:D,4,0)</f>
        <v>9652.18</v>
      </c>
      <c r="P38" s="7"/>
      <c r="Q38" s="6"/>
    </row>
    <row r="39" spans="1:17" s="93" customFormat="1">
      <c r="A39" s="84" t="s">
        <v>72</v>
      </c>
      <c r="B39" s="78">
        <v>-8</v>
      </c>
      <c r="C39" s="78" t="s">
        <v>73</v>
      </c>
      <c r="D39" s="125">
        <f>IFERROR(VLOOKUP($A39,'Balancete 2015'!$A:$D,4,0),"0")+O39</f>
        <v>109193.44</v>
      </c>
      <c r="E39" s="78">
        <v>400</v>
      </c>
      <c r="F39" s="78">
        <v>100</v>
      </c>
      <c r="G39" s="78">
        <v>700</v>
      </c>
      <c r="H39" s="78"/>
      <c r="I39" s="125">
        <f>IFERROR(VLOOKUP($A39,'Balancete 2016'!$A:$D,4,0),"0")</f>
        <v>107688.12</v>
      </c>
      <c r="J39" s="95"/>
      <c r="K39" s="57"/>
      <c r="M39" s="87" t="str">
        <f>VLOOKUP(A39,'1 sem.15'!A:D,1,0)</f>
        <v>8.1.7.21</v>
      </c>
      <c r="N39" s="161" t="str">
        <f>VLOOKUP(A39,'1 sem.15'!A:D,3,0)</f>
        <v>DESPESAS DE MANUTENCAO E CONSERVACAO DE BENS</v>
      </c>
      <c r="O39" s="161">
        <f>VLOOKUP(A39,'1 sem.15'!A:D,4,0)</f>
        <v>55158.82</v>
      </c>
      <c r="P39" s="100"/>
      <c r="Q39" s="95"/>
    </row>
    <row r="40" spans="1:17">
      <c r="A40" s="30" t="s">
        <v>74</v>
      </c>
      <c r="B40" s="29">
        <v>0</v>
      </c>
      <c r="C40" s="29" t="s">
        <v>75</v>
      </c>
      <c r="D40" s="71">
        <f>IFERROR(VLOOKUP($A40,'Balancete 2015'!$A:$D,4,0),"0")+O40</f>
        <v>109193.44</v>
      </c>
      <c r="E40" s="29"/>
      <c r="F40" s="29"/>
      <c r="G40" s="29"/>
      <c r="H40" s="29"/>
      <c r="I40" s="125">
        <f>IFERROR(VLOOKUP($A40,'Balancete 2016'!$A:$D,4,0),"0")</f>
        <v>107688.12</v>
      </c>
      <c r="J40" s="6"/>
      <c r="K40" s="57"/>
      <c r="M40" s="87" t="str">
        <f>VLOOKUP(A40,'1 sem.15'!A:D,1,0)</f>
        <v>8.1.7.21.11</v>
      </c>
      <c r="N40" s="88" t="str">
        <f>VLOOKUP(A40,'1 sem.15'!A:D,3,0)</f>
        <v>DESP DE MANUT E CONSERVACAO DE BENS - CAIXAPAR</v>
      </c>
      <c r="O40" s="88">
        <f>VLOOKUP(A40,'1 sem.15'!A:D,4,0)</f>
        <v>55158.82</v>
      </c>
      <c r="P40" s="7"/>
      <c r="Q40" s="6"/>
    </row>
    <row r="41" spans="1:17">
      <c r="A41" s="30" t="s">
        <v>76</v>
      </c>
      <c r="B41" s="29">
        <v>-8</v>
      </c>
      <c r="C41" s="29" t="s">
        <v>449</v>
      </c>
      <c r="D41" s="71">
        <f>IFERROR(VLOOKUP($A41,'Balancete 2015'!$A:$D,4,0),"0")+O41</f>
        <v>109193.44</v>
      </c>
      <c r="E41" s="29"/>
      <c r="F41" s="29"/>
      <c r="G41" s="29"/>
      <c r="H41" s="29"/>
      <c r="I41" s="125">
        <f>IFERROR(VLOOKUP($A41,'Balancete 2016'!$A:$D,4,0),"0")</f>
        <v>107688.12</v>
      </c>
      <c r="J41" s="6"/>
      <c r="K41" s="57"/>
      <c r="M41" s="87" t="str">
        <f>VLOOKUP(A41,'1 sem.15'!A:D,1,0)</f>
        <v>8.1.7.21.11.01</v>
      </c>
      <c r="N41" s="88" t="str">
        <f>VLOOKUP(A41,'1 sem.15'!A:D,3,0)</f>
        <v>DESP DE MANUT E CONSERV DE BENS/CAIXAPAR</v>
      </c>
      <c r="O41" s="88">
        <f>VLOOKUP(A41,'1 sem.15'!A:D,4,0)</f>
        <v>55158.82</v>
      </c>
      <c r="P41" s="7"/>
      <c r="Q41" s="6"/>
    </row>
    <row r="42" spans="1:17" s="93" customFormat="1">
      <c r="A42" s="84" t="s">
        <v>77</v>
      </c>
      <c r="B42" s="78">
        <v>-5</v>
      </c>
      <c r="C42" s="78" t="s">
        <v>78</v>
      </c>
      <c r="D42" s="125">
        <f>IFERROR(VLOOKUP($A42,'Balancete 2015'!$A:$D,4,0),"0")+O42</f>
        <v>562304.61</v>
      </c>
      <c r="E42" s="78">
        <v>400</v>
      </c>
      <c r="F42" s="78"/>
      <c r="G42" s="78">
        <v>100</v>
      </c>
      <c r="H42" s="78"/>
      <c r="I42" s="125">
        <f>IFERROR(VLOOKUP($A42,'Balancete 2016'!$A:$D,4,0),"0")</f>
        <v>887727</v>
      </c>
      <c r="J42" s="95"/>
      <c r="K42" s="57"/>
      <c r="M42" s="87" t="str">
        <f>VLOOKUP(A42,'1 sem.15'!A:D,1,0)</f>
        <v>8.1.7.27</v>
      </c>
      <c r="N42" s="161" t="str">
        <f>VLOOKUP(A42,'1 sem.15'!A:D,3,0)</f>
        <v>DESPESAS DE PESSOAL - BENEFICIOS</v>
      </c>
      <c r="O42" s="161">
        <f>VLOOKUP(A42,'1 sem.15'!A:D,4,0)</f>
        <v>150242.76</v>
      </c>
      <c r="P42" s="100"/>
      <c r="Q42" s="95"/>
    </row>
    <row r="43" spans="1:17">
      <c r="A43" s="30" t="s">
        <v>79</v>
      </c>
      <c r="B43" s="29">
        <v>-3</v>
      </c>
      <c r="C43" s="29" t="s">
        <v>450</v>
      </c>
      <c r="D43" s="71">
        <f>IFERROR(VLOOKUP($A43,'Balancete 2015'!$A:$D,4,0),"0")+O43</f>
        <v>562304.61</v>
      </c>
      <c r="E43" s="29"/>
      <c r="F43" s="29"/>
      <c r="G43" s="29"/>
      <c r="H43" s="29"/>
      <c r="I43" s="125">
        <f>IFERROR(VLOOKUP($A43,'Balancete 2016'!$A:$D,4,0),"0")</f>
        <v>887727</v>
      </c>
      <c r="J43" s="6"/>
      <c r="K43" s="57"/>
      <c r="M43" s="87" t="str">
        <f>VLOOKUP(A43,'1 sem.15'!A:D,1,0)</f>
        <v>8.1.7.27.12</v>
      </c>
      <c r="N43" s="88" t="str">
        <f>VLOOKUP(A43,'1 sem.15'!A:D,3,0)</f>
        <v>DESPESAS DE PESSOAL - BENEFICIOS/CAIXAPAR</v>
      </c>
      <c r="O43" s="88">
        <f>VLOOKUP(A43,'1 sem.15'!A:D,4,0)</f>
        <v>150242.76</v>
      </c>
      <c r="P43" s="7"/>
      <c r="Q43" s="6"/>
    </row>
    <row r="44" spans="1:17">
      <c r="A44" s="30" t="s">
        <v>80</v>
      </c>
      <c r="B44" s="29">
        <v>-1</v>
      </c>
      <c r="C44" s="29" t="s">
        <v>451</v>
      </c>
      <c r="D44" s="71">
        <f>IFERROR(VLOOKUP($A44,'Balancete 2015'!$A:$D,4,0),"0")+O44</f>
        <v>28745.3</v>
      </c>
      <c r="E44" s="29"/>
      <c r="F44" s="29"/>
      <c r="G44" s="29"/>
      <c r="H44" s="29"/>
      <c r="I44" s="125">
        <f>IFERROR(VLOOKUP($A44,'Balancete 2016'!$A:$D,4,0),"0")</f>
        <v>19250.259999999998</v>
      </c>
      <c r="J44" s="6"/>
      <c r="K44" s="57"/>
      <c r="M44" s="87" t="str">
        <f>VLOOKUP(A44,'1 sem.15'!A:D,1,0)</f>
        <v>8.1.7.27.12.01</v>
      </c>
      <c r="N44" s="88" t="str">
        <f>VLOOKUP(A44,'1 sem.15'!A:D,3,0)</f>
        <v>DESP DE PESSOAL - PROG ASSIST A INFAN/CAIXAPAR</v>
      </c>
      <c r="O44" s="88">
        <f>VLOOKUP(A44,'1 sem.15'!A:D,4,0)</f>
        <v>17825.64</v>
      </c>
      <c r="P44" s="7"/>
      <c r="Q44" s="6"/>
    </row>
    <row r="45" spans="1:17">
      <c r="A45" s="30" t="s">
        <v>81</v>
      </c>
      <c r="B45" s="29">
        <v>-8</v>
      </c>
      <c r="C45" s="29" t="s">
        <v>452</v>
      </c>
      <c r="D45" s="71">
        <f>IFERROR(VLOOKUP($A45,'Balancete 2015'!$A:$D,4,0),"0")+O45</f>
        <v>250669.52</v>
      </c>
      <c r="E45" s="29"/>
      <c r="F45" s="29"/>
      <c r="G45" s="29"/>
      <c r="H45" s="29"/>
      <c r="I45" s="125">
        <f>IFERROR(VLOOKUP($A45,'Balancete 2016'!$A:$D,4,0),"0")</f>
        <v>259438</v>
      </c>
      <c r="J45" s="6"/>
      <c r="K45" s="57"/>
      <c r="M45" s="87" t="str">
        <f>VLOOKUP(A45,'1 sem.15'!A:D,1,0)</f>
        <v>8.1.7.27.12.03</v>
      </c>
      <c r="N45" s="88" t="str">
        <f>VLOOKUP(A45,'1 sem.15'!A:D,3,0)</f>
        <v>DESP DE PESSOAL - AUX ALIMENTACAO/CAIXAPAR</v>
      </c>
      <c r="O45" s="88">
        <f>VLOOKUP(A45,'1 sem.15'!A:D,4,0)</f>
        <v>132417.12</v>
      </c>
      <c r="P45" s="7"/>
      <c r="Q45" s="6"/>
    </row>
    <row r="46" spans="1:17">
      <c r="A46" t="s">
        <v>1042</v>
      </c>
      <c r="B46">
        <v>0</v>
      </c>
      <c r="C46" t="s">
        <v>1043</v>
      </c>
      <c r="D46" s="71"/>
      <c r="E46" s="29"/>
      <c r="F46" s="29"/>
      <c r="G46" s="29"/>
      <c r="H46" s="29"/>
      <c r="I46" s="125">
        <f>IFERROR(VLOOKUP($A46,'Balancete 2016'!$A:$D,4,0),"0")</f>
        <v>1191.45</v>
      </c>
      <c r="J46" s="6"/>
      <c r="K46" s="57"/>
      <c r="M46" s="87"/>
      <c r="N46" s="88"/>
      <c r="O46" s="88"/>
      <c r="P46" s="7"/>
      <c r="Q46" s="6"/>
    </row>
    <row r="47" spans="1:17">
      <c r="A47" s="56" t="s">
        <v>898</v>
      </c>
      <c r="B47" s="29">
        <v>9</v>
      </c>
      <c r="C47" s="75" t="s">
        <v>899</v>
      </c>
      <c r="D47" s="71">
        <f>IFERROR(VLOOKUP($A47,'Balancete 2015'!$A:$D,4,0),"0")+O47</f>
        <v>282889.78999999998</v>
      </c>
      <c r="E47" s="29"/>
      <c r="F47" s="29"/>
      <c r="G47" s="29"/>
      <c r="H47" s="29"/>
      <c r="I47" s="125">
        <f>IFERROR(VLOOKUP($A47,'Balancete 2016'!$A:$D,4,0),"0")</f>
        <v>607847.29</v>
      </c>
      <c r="J47" s="6"/>
      <c r="K47" s="57"/>
      <c r="M47" s="87" t="str">
        <f>+A47</f>
        <v>8.1.7.27.12.08</v>
      </c>
      <c r="N47" s="88" t="str">
        <f>+C47</f>
        <v>DESP DE PESSOAL - PLR</v>
      </c>
      <c r="O47" s="88">
        <v>0</v>
      </c>
      <c r="P47" s="7"/>
      <c r="Q47" s="6"/>
    </row>
    <row r="48" spans="1:17" s="93" customFormat="1">
      <c r="A48" s="84" t="s">
        <v>82</v>
      </c>
      <c r="B48" s="78">
        <v>-7</v>
      </c>
      <c r="C48" s="78" t="s">
        <v>83</v>
      </c>
      <c r="D48" s="125">
        <f>IFERROR(VLOOKUP($A48,'Balancete 2015'!$A:$D,4,0),"0")+O48</f>
        <v>1833577.76</v>
      </c>
      <c r="E48" s="78">
        <v>400</v>
      </c>
      <c r="F48" s="78"/>
      <c r="G48" s="78"/>
      <c r="H48" s="78"/>
      <c r="I48" s="125">
        <f>IFERROR(VLOOKUP($A48,'Balancete 2016'!$A:$D,4,0),"0")</f>
        <v>1905683.21</v>
      </c>
      <c r="J48" s="95"/>
      <c r="K48" s="57"/>
      <c r="M48" s="87" t="str">
        <f>VLOOKUP(A48,'1 sem.15'!A:D,1,0)</f>
        <v>8.1.7.30</v>
      </c>
      <c r="N48" s="161" t="str">
        <f>VLOOKUP(A48,'1 sem.15'!A:D,3,0)</f>
        <v>DESPESAS DE PESSOAL - ENCARGOS SOCIAIS</v>
      </c>
      <c r="O48" s="161">
        <f>VLOOKUP(A48,'1 sem.15'!A:D,4,0)</f>
        <v>865993.56</v>
      </c>
      <c r="P48" s="100"/>
      <c r="Q48" s="95"/>
    </row>
    <row r="49" spans="1:17">
      <c r="A49" s="30" t="s">
        <v>84</v>
      </c>
      <c r="B49" s="29">
        <v>-5</v>
      </c>
      <c r="C49" s="29" t="s">
        <v>455</v>
      </c>
      <c r="D49" s="71">
        <f>IFERROR(VLOOKUP($A49,'Balancete 2015'!$A:$D,4,0),"0")+O49</f>
        <v>298734.84999999998</v>
      </c>
      <c r="E49" s="29"/>
      <c r="F49" s="29"/>
      <c r="G49" s="29">
        <v>200</v>
      </c>
      <c r="H49" s="29"/>
      <c r="I49" s="125">
        <f>IFERROR(VLOOKUP($A49,'Balancete 2016'!$A:$D,4,0),"0")</f>
        <v>306301.55</v>
      </c>
      <c r="J49" s="6"/>
      <c r="K49" s="57"/>
      <c r="M49" s="87" t="str">
        <f>VLOOKUP(A49,'1 sem.15'!A:D,1,0)</f>
        <v>8.1.7.30.12</v>
      </c>
      <c r="N49" s="88" t="str">
        <f>VLOOKUP(A49,'1 sem.15'!A:D,3,0)</f>
        <v>DESP DE PESSOAL ENC SOCIAIS - FGTS/CAIXAPAR</v>
      </c>
      <c r="O49" s="88">
        <f>VLOOKUP(A49,'1 sem.15'!A:D,4,0)</f>
        <v>147656.46</v>
      </c>
      <c r="P49" s="7"/>
      <c r="Q49" s="6"/>
    </row>
    <row r="50" spans="1:17">
      <c r="A50" s="30" t="s">
        <v>85</v>
      </c>
      <c r="B50" s="29">
        <v>-3</v>
      </c>
      <c r="C50" s="29" t="s">
        <v>456</v>
      </c>
      <c r="D50" s="71">
        <f>IFERROR(VLOOKUP($A50,'Balancete 2015'!$A:$D,4,0),"0")+O50</f>
        <v>277228.59999999998</v>
      </c>
      <c r="E50" s="29"/>
      <c r="F50" s="29"/>
      <c r="G50" s="29"/>
      <c r="H50" s="29"/>
      <c r="I50" s="125">
        <f>IFERROR(VLOOKUP($A50,'Balancete 2016'!$A:$D,4,0),"0")</f>
        <v>286562.59000000003</v>
      </c>
      <c r="J50" s="6"/>
      <c r="K50" s="57"/>
      <c r="M50" s="87" t="str">
        <f>VLOOKUP(A50,'1 sem.15'!A:D,1,0)</f>
        <v>8.1.7.30.12.01</v>
      </c>
      <c r="N50" s="88" t="str">
        <f>VLOOKUP(A50,'1 sem.15'!A:D,3,0)</f>
        <v>DESP DE ENC SOCIAIS - FGTS/CAIXAPAR</v>
      </c>
      <c r="O50" s="88">
        <f>VLOOKUP(A50,'1 sem.15'!A:D,4,0)</f>
        <v>136958.03</v>
      </c>
      <c r="P50" s="7"/>
      <c r="Q50" s="6"/>
    </row>
    <row r="51" spans="1:17">
      <c r="A51" s="30" t="s">
        <v>86</v>
      </c>
      <c r="B51" s="29">
        <v>-1</v>
      </c>
      <c r="C51" s="29" t="s">
        <v>457</v>
      </c>
      <c r="D51" s="71">
        <f>IFERROR(VLOOKUP($A51,'Balancete 2015'!$A:$D,4,0),"0")+O51</f>
        <v>21506.25</v>
      </c>
      <c r="E51" s="29"/>
      <c r="F51" s="29"/>
      <c r="G51" s="29"/>
      <c r="H51" s="29"/>
      <c r="I51" s="125">
        <f>IFERROR(VLOOKUP($A51,'Balancete 2016'!$A:$D,4,0),"0")</f>
        <v>19738.96</v>
      </c>
      <c r="J51" s="6"/>
      <c r="K51" s="57"/>
      <c r="M51" s="87" t="str">
        <f>VLOOKUP(A51,'1 sem.15'!A:D,1,0)</f>
        <v>8.1.7.30.12.02</v>
      </c>
      <c r="N51" s="88" t="str">
        <f>VLOOKUP(A51,'1 sem.15'!A:D,3,0)</f>
        <v>DESP DE ENC SOCIAIS - FGTS S/ 13º SAL/CAIXAPAR</v>
      </c>
      <c r="O51" s="88">
        <f>VLOOKUP(A51,'1 sem.15'!A:D,4,0)</f>
        <v>10698.43</v>
      </c>
      <c r="P51" s="7"/>
      <c r="Q51" s="6"/>
    </row>
    <row r="52" spans="1:17">
      <c r="A52" s="30" t="s">
        <v>87</v>
      </c>
      <c r="B52" s="29">
        <v>-7</v>
      </c>
      <c r="C52" s="29" t="s">
        <v>458</v>
      </c>
      <c r="D52" s="71">
        <f>IFERROR(VLOOKUP($A52,'Balancete 2015'!$A:$D,4,0),"0")+O52</f>
        <v>987051.37</v>
      </c>
      <c r="E52" s="29"/>
      <c r="F52" s="29"/>
      <c r="G52" s="29">
        <v>300</v>
      </c>
      <c r="H52" s="29"/>
      <c r="I52" s="125">
        <f>IFERROR(VLOOKUP($A52,'Balancete 2016'!$A:$D,4,0),"0")</f>
        <v>1013678.03</v>
      </c>
      <c r="J52" s="6"/>
      <c r="K52" s="57"/>
      <c r="M52" s="87" t="str">
        <f>VLOOKUP(A52,'1 sem.15'!A:D,1,0)</f>
        <v>8.1.7.30.52</v>
      </c>
      <c r="N52" s="88" t="str">
        <f>VLOOKUP(A52,'1 sem.15'!A:D,3,0)</f>
        <v>DESP DE ENC SOCIAIS - PREVI SOCIAL/CAIXAPAR</v>
      </c>
      <c r="O52" s="88">
        <f>VLOOKUP(A52,'1 sem.15'!A:D,4,0)</f>
        <v>483736.83</v>
      </c>
      <c r="P52" s="7"/>
      <c r="Q52" s="6"/>
    </row>
    <row r="53" spans="1:17">
      <c r="A53" s="30" t="s">
        <v>88</v>
      </c>
      <c r="B53" s="29">
        <v>-5</v>
      </c>
      <c r="C53" s="29" t="s">
        <v>459</v>
      </c>
      <c r="D53" s="71">
        <f>IFERROR(VLOOKUP($A53,'Balancete 2015'!$A:$D,4,0),"0")+O53</f>
        <v>987051.37</v>
      </c>
      <c r="E53" s="29"/>
      <c r="F53" s="29"/>
      <c r="G53" s="29"/>
      <c r="H53" s="29"/>
      <c r="I53" s="125">
        <f>IFERROR(VLOOKUP($A53,'Balancete 2016'!$A:$D,4,0),"0")</f>
        <v>1013678.03</v>
      </c>
      <c r="J53" s="6"/>
      <c r="K53" s="57"/>
      <c r="M53" s="87" t="str">
        <f>VLOOKUP(A53,'1 sem.15'!A:D,1,0)</f>
        <v>8.1.7.30.52.01</v>
      </c>
      <c r="N53" s="88" t="str">
        <f>VLOOKUP(A53,'1 sem.15'!A:D,3,0)</f>
        <v>DESP DE ENC SOCIAIS - INSS/CAIXAPAR</v>
      </c>
      <c r="O53" s="88">
        <f>VLOOKUP(A53,'1 sem.15'!A:D,4,0)</f>
        <v>483736.83</v>
      </c>
      <c r="P53" s="7"/>
      <c r="Q53" s="6"/>
    </row>
    <row r="54" spans="1:17">
      <c r="A54" s="30" t="s">
        <v>89</v>
      </c>
      <c r="B54" s="29">
        <v>-2</v>
      </c>
      <c r="C54" s="29" t="s">
        <v>460</v>
      </c>
      <c r="D54" s="71">
        <f>IFERROR(VLOOKUP($A54,'Balancete 2015'!$A:$D,4,0),"0")+O54</f>
        <v>411345.47</v>
      </c>
      <c r="E54" s="29"/>
      <c r="F54" s="29"/>
      <c r="G54" s="29">
        <v>400</v>
      </c>
      <c r="H54" s="29"/>
      <c r="I54" s="125">
        <f>IFERROR(VLOOKUP($A54,'Balancete 2016'!$A:$D,4,0),"0")</f>
        <v>428604.79</v>
      </c>
      <c r="J54" s="6"/>
      <c r="K54" s="57"/>
      <c r="M54" s="87" t="str">
        <f>VLOOKUP(A54,'1 sem.15'!A:D,1,0)</f>
        <v>8.1.7.30.62</v>
      </c>
      <c r="N54" s="88" t="str">
        <f>VLOOKUP(A54,'1 sem.15'!A:D,3,0)</f>
        <v>DESP DE ENC SOCIAIS - PREVI COMPLEMENT/CAIXAPAR</v>
      </c>
      <c r="O54" s="88">
        <f>VLOOKUP(A54,'1 sem.15'!A:D,4,0)</f>
        <v>175719.17</v>
      </c>
      <c r="P54" s="7"/>
      <c r="Q54" s="6"/>
    </row>
    <row r="55" spans="1:17">
      <c r="A55" s="56" t="s">
        <v>637</v>
      </c>
      <c r="B55" s="29">
        <v>0</v>
      </c>
      <c r="C55" s="59" t="s">
        <v>638</v>
      </c>
      <c r="D55" s="71">
        <f>IFERROR(VLOOKUP($A55,'Balancete 2015'!$A:$D,4,0),"0")+O55</f>
        <v>365165.29</v>
      </c>
      <c r="E55" s="29"/>
      <c r="F55" s="29"/>
      <c r="G55" s="29"/>
      <c r="H55" s="29"/>
      <c r="I55" s="125">
        <f>IFERROR(VLOOKUP($A55,'Balancete 2016'!$A:$D,4,0),"0")</f>
        <v>404796.91</v>
      </c>
      <c r="J55" s="6"/>
      <c r="K55" s="57"/>
      <c r="M55" s="87" t="str">
        <f>VLOOKUP(A55,'1 sem.15'!A:D,1,0)</f>
        <v>8.1.7.30.62.01</v>
      </c>
      <c r="N55" s="88" t="str">
        <f>VLOOKUP(A55,'1 sem.15'!A:D,3,0)</f>
        <v>DESP DE ENC SOCIAIS - FUNCEF/CAIXAPAR</v>
      </c>
      <c r="O55" s="88">
        <f>VLOOKUP(A55,'1 sem.15'!A:D,4,0)</f>
        <v>164244.24</v>
      </c>
      <c r="P55" s="7"/>
      <c r="Q55" s="6"/>
    </row>
    <row r="56" spans="1:17">
      <c r="A56" s="30" t="s">
        <v>90</v>
      </c>
      <c r="B56" s="29">
        <v>-9</v>
      </c>
      <c r="C56" s="29" t="s">
        <v>461</v>
      </c>
      <c r="D56" s="71">
        <f>IFERROR(VLOOKUP($A56,'Balancete 2015'!$A:$D,4,0),"0")+O56</f>
        <v>46180.18</v>
      </c>
      <c r="E56" s="29"/>
      <c r="F56" s="29"/>
      <c r="G56" s="29"/>
      <c r="H56" s="29"/>
      <c r="I56" s="125">
        <f>IFERROR(VLOOKUP($A56,'Balancete 2016'!$A:$D,4,0),"0")</f>
        <v>23807.88</v>
      </c>
      <c r="J56" s="6"/>
      <c r="K56" s="57"/>
      <c r="M56" s="87" t="str">
        <f>VLOOKUP(A56,'1 sem.15'!A:D,1,0)</f>
        <v>8.1.7.30.62.02</v>
      </c>
      <c r="N56" s="88" t="str">
        <f>VLOOKUP(A56,'1 sem.15'!A:D,3,0)</f>
        <v>DESP DE ENC SOCIAIS - FUNCEF S/13º SAL/CAIXAPAR</v>
      </c>
      <c r="O56" s="88">
        <f>VLOOKUP(A56,'1 sem.15'!A:D,4,0)</f>
        <v>11474.93</v>
      </c>
      <c r="P56" s="7"/>
      <c r="Q56" s="6"/>
    </row>
    <row r="57" spans="1:17">
      <c r="A57" s="30" t="s">
        <v>91</v>
      </c>
      <c r="B57" s="29">
        <v>0</v>
      </c>
      <c r="C57" s="29" t="s">
        <v>462</v>
      </c>
      <c r="D57" s="71">
        <f>IFERROR(VLOOKUP($A57,'Balancete 2015'!$A:$D,4,0),"0")+O57</f>
        <v>136446.07</v>
      </c>
      <c r="E57" s="29"/>
      <c r="F57" s="29"/>
      <c r="G57" s="29">
        <v>500</v>
      </c>
      <c r="H57" s="29"/>
      <c r="I57" s="125">
        <f>IFERROR(VLOOKUP($A57,'Balancete 2016'!$A:$D,4,0),"0")</f>
        <v>157098.84</v>
      </c>
      <c r="J57" s="6"/>
      <c r="K57" s="57"/>
      <c r="M57" s="87" t="str">
        <f>VLOOKUP(A57,'1 sem.15'!A:D,1,0)</f>
        <v>8.1.7.30.97</v>
      </c>
      <c r="N57" s="88" t="str">
        <f>VLOOKUP(A57,'1 sem.15'!A:D,3,0)</f>
        <v>DESP DE ENC SOCIAIS - OUTROS/CAIXAPAR</v>
      </c>
      <c r="O57" s="88">
        <f>VLOOKUP(A57,'1 sem.15'!A:D,4,0)</f>
        <v>58881.1</v>
      </c>
      <c r="P57" s="7"/>
      <c r="Q57" s="6"/>
    </row>
    <row r="58" spans="1:17">
      <c r="A58" s="30" t="s">
        <v>92</v>
      </c>
      <c r="B58" s="29">
        <v>-9</v>
      </c>
      <c r="C58" s="29" t="s">
        <v>463</v>
      </c>
      <c r="D58" s="71">
        <f>IFERROR(VLOOKUP($A58,'Balancete 2015'!$A:$D,4,0),"0")+O58</f>
        <v>136446.07</v>
      </c>
      <c r="E58" s="29"/>
      <c r="F58" s="29"/>
      <c r="G58" s="29"/>
      <c r="H58" s="29"/>
      <c r="I58" s="125">
        <f>IFERROR(VLOOKUP($A58,'Balancete 2016'!$A:$D,4,0),"0")</f>
        <v>157098.84</v>
      </c>
      <c r="J58" s="6"/>
      <c r="K58" s="57"/>
      <c r="M58" s="87" t="str">
        <f>VLOOKUP(A58,'1 sem.15'!A:D,1,0)</f>
        <v>8.1.7.30.97.01</v>
      </c>
      <c r="N58" s="88" t="str">
        <f>VLOOKUP(A58,'1 sem.15'!A:D,3,0)</f>
        <v>DESP DE ENC SOCIAIS - SAL EDUCACAO/CAIXAPAR</v>
      </c>
      <c r="O58" s="88">
        <f>VLOOKUP(A58,'1 sem.15'!A:D,4,0)</f>
        <v>58881.1</v>
      </c>
      <c r="P58" s="7"/>
      <c r="Q58" s="6"/>
    </row>
    <row r="59" spans="1:17" s="93" customFormat="1">
      <c r="A59" s="84" t="s">
        <v>93</v>
      </c>
      <c r="B59" s="78">
        <v>0</v>
      </c>
      <c r="C59" s="78" t="s">
        <v>94</v>
      </c>
      <c r="D59" s="125">
        <f>IFERROR(VLOOKUP($A59,'Balancete 2015'!$A:$D,4,0),"0")+O59</f>
        <v>4276112.17</v>
      </c>
      <c r="E59" s="78">
        <v>400</v>
      </c>
      <c r="F59" s="78"/>
      <c r="G59" s="78">
        <v>100</v>
      </c>
      <c r="H59" s="78"/>
      <c r="I59" s="125">
        <f>IFERROR(VLOOKUP($A59,'Balancete 2016'!$A:$D,4,0),"0")</f>
        <v>3924615.52</v>
      </c>
      <c r="J59" s="95"/>
      <c r="K59" s="57"/>
      <c r="M59" s="87" t="str">
        <f>VLOOKUP(A59,'1 sem.15'!A:D,1,0)</f>
        <v>8.1.7.33</v>
      </c>
      <c r="N59" s="161" t="str">
        <f>VLOOKUP(A59,'1 sem.15'!A:D,3,0)</f>
        <v>DESPESAS DE PESSOAL - PROVENTOS</v>
      </c>
      <c r="O59" s="161">
        <f>VLOOKUP(A59,'1 sem.15'!A:D,4,0)</f>
        <v>2104059.1</v>
      </c>
      <c r="P59" s="100"/>
      <c r="Q59" s="95"/>
    </row>
    <row r="60" spans="1:17">
      <c r="A60" s="30" t="s">
        <v>95</v>
      </c>
      <c r="B60" s="29">
        <v>-2</v>
      </c>
      <c r="C60" s="29" t="s">
        <v>464</v>
      </c>
      <c r="D60" s="71">
        <f>IFERROR(VLOOKUP($A60,'Balancete 2015'!$A:$D,4,0),"0")+O60</f>
        <v>4276112.17</v>
      </c>
      <c r="E60" s="29"/>
      <c r="F60" s="29"/>
      <c r="G60" s="29"/>
      <c r="H60" s="29"/>
      <c r="I60" s="125">
        <f>IFERROR(VLOOKUP($A60,'Balancete 2016'!$A:$D,4,0),"0")</f>
        <v>3924615.52</v>
      </c>
      <c r="J60" s="6"/>
      <c r="K60" s="57"/>
      <c r="M60" s="87" t="str">
        <f>VLOOKUP(A60,'1 sem.15'!A:D,1,0)</f>
        <v>8.1.7.33.11</v>
      </c>
      <c r="N60" s="88" t="str">
        <f>VLOOKUP(A60,'1 sem.15'!A:D,3,0)</f>
        <v>DESPESAS DE PESSOAL - PROVENTOS/CAIXAPAR</v>
      </c>
      <c r="O60" s="88">
        <f>VLOOKUP(A60,'1 sem.15'!A:D,4,0)</f>
        <v>2104059.1</v>
      </c>
      <c r="P60" s="7"/>
      <c r="Q60" s="6"/>
    </row>
    <row r="61" spans="1:17">
      <c r="A61" s="30" t="s">
        <v>96</v>
      </c>
      <c r="B61" s="29">
        <v>0</v>
      </c>
      <c r="C61" s="29" t="s">
        <v>465</v>
      </c>
      <c r="D61" s="71">
        <f>IFERROR(VLOOKUP($A61,'Balancete 2015'!$A:$D,4,0),"0")+O61</f>
        <v>1046076.8400000001</v>
      </c>
      <c r="E61" s="29"/>
      <c r="F61" s="29"/>
      <c r="G61" s="29"/>
      <c r="H61" s="29"/>
      <c r="I61" s="125">
        <f>IFERROR(VLOOKUP($A61,'Balancete 2016'!$A:$D,4,0),"0")</f>
        <v>1074100</v>
      </c>
      <c r="J61" s="6"/>
      <c r="K61" s="57"/>
      <c r="M61" s="87" t="str">
        <f>VLOOKUP(A61,'1 sem.15'!A:D,1,0)</f>
        <v>8.1.7.33.11.01</v>
      </c>
      <c r="N61" s="88" t="str">
        <f>VLOOKUP(A61,'1 sem.15'!A:D,3,0)</f>
        <v>DESP DE PESSOAL - SAL PADRAO/CAIXAPAR</v>
      </c>
      <c r="O61" s="88">
        <f>VLOOKUP(A61,'1 sem.15'!A:D,4,0)</f>
        <v>522579.44</v>
      </c>
      <c r="P61" s="7"/>
      <c r="Q61" s="6"/>
    </row>
    <row r="62" spans="1:17">
      <c r="A62" s="30" t="s">
        <v>97</v>
      </c>
      <c r="B62" s="29">
        <v>-9</v>
      </c>
      <c r="C62" s="29" t="s">
        <v>466</v>
      </c>
      <c r="D62" s="71">
        <f>IFERROR(VLOOKUP($A62,'Balancete 2015'!$A:$D,4,0),"0")+O62</f>
        <v>1427564.0699999998</v>
      </c>
      <c r="E62" s="29"/>
      <c r="F62" s="29"/>
      <c r="G62" s="29"/>
      <c r="H62" s="29"/>
      <c r="I62" s="125">
        <f>IFERROR(VLOOKUP($A62,'Balancete 2016'!$A:$D,4,0),"0")</f>
        <v>1424834.65</v>
      </c>
      <c r="J62" s="6"/>
      <c r="K62" s="57"/>
      <c r="M62" s="87" t="str">
        <f>VLOOKUP(A62,'1 sem.15'!A:D,1,0)</f>
        <v>8.1.7.33.11.02</v>
      </c>
      <c r="N62" s="88" t="str">
        <f>VLOOKUP(A62,'1 sem.15'!A:D,3,0)</f>
        <v>DESP DE PESSOAL - FUNCAO DE CONFIANCA/CAIXAPAR</v>
      </c>
      <c r="O62" s="88">
        <f>VLOOKUP(A62,'1 sem.15'!A:D,4,0)</f>
        <v>699166.62</v>
      </c>
      <c r="P62" s="7"/>
      <c r="Q62" s="6"/>
    </row>
    <row r="63" spans="1:17">
      <c r="A63" s="30" t="s">
        <v>98</v>
      </c>
      <c r="B63" s="29">
        <v>-7</v>
      </c>
      <c r="C63" s="29" t="s">
        <v>467</v>
      </c>
      <c r="D63" s="71">
        <f>IFERROR(VLOOKUP($A63,'Balancete 2015'!$A:$D,4,0),"0")+O63</f>
        <v>63551.360000000001</v>
      </c>
      <c r="E63" s="29"/>
      <c r="F63" s="29"/>
      <c r="G63" s="29"/>
      <c r="H63" s="29"/>
      <c r="I63" s="125">
        <f>IFERROR(VLOOKUP($A63,'Balancete 2016'!$A:$D,4,0),"0")</f>
        <v>42742.81</v>
      </c>
      <c r="J63" s="6"/>
      <c r="K63" s="57"/>
      <c r="M63" s="87" t="str">
        <f>VLOOKUP(A63,'1 sem.15'!A:D,1,0)</f>
        <v>8.1.7.33.11.03</v>
      </c>
      <c r="N63" s="88" t="str">
        <f>VLOOKUP(A63,'1 sem.15'!A:D,3,0)</f>
        <v>DESP DE PESSOAL - HORA EXTRA/CAIXAPAR</v>
      </c>
      <c r="O63" s="88">
        <f>VLOOKUP(A63,'1 sem.15'!A:D,4,0)</f>
        <v>47937.13</v>
      </c>
      <c r="P63" s="7"/>
      <c r="Q63" s="6"/>
    </row>
    <row r="64" spans="1:17">
      <c r="A64" s="30" t="s">
        <v>99</v>
      </c>
      <c r="B64" s="29">
        <v>-5</v>
      </c>
      <c r="C64" s="29" t="s">
        <v>468</v>
      </c>
      <c r="D64" s="71">
        <f>IFERROR(VLOOKUP($A64,'Balancete 2015'!$A:$D,4,0),"0")+O64</f>
        <v>72231.92</v>
      </c>
      <c r="E64" s="29"/>
      <c r="F64" s="29"/>
      <c r="G64" s="29"/>
      <c r="H64" s="29"/>
      <c r="I64" s="125">
        <f>IFERROR(VLOOKUP($A64,'Balancete 2016'!$A:$D,4,0),"0")</f>
        <v>69735.78</v>
      </c>
      <c r="J64" s="6"/>
      <c r="K64" s="57"/>
      <c r="M64" s="87" t="str">
        <f>VLOOKUP(A64,'1 sem.15'!A:D,1,0)</f>
        <v>8.1.7.33.11.04</v>
      </c>
      <c r="N64" s="88" t="str">
        <f>VLOOKUP(A64,'1 sem.15'!A:D,3,0)</f>
        <v>DESP DE PESSOAL - ADIC TEMPO DE SERV/CAIXAPAR</v>
      </c>
      <c r="O64" s="88">
        <f>VLOOKUP(A64,'1 sem.15'!A:D,4,0)</f>
        <v>36693.57</v>
      </c>
      <c r="P64" s="7"/>
      <c r="Q64" s="6"/>
    </row>
    <row r="65" spans="1:17">
      <c r="A65" s="30" t="s">
        <v>100</v>
      </c>
      <c r="B65" s="29">
        <v>-1</v>
      </c>
      <c r="C65" s="29" t="s">
        <v>469</v>
      </c>
      <c r="D65" s="71">
        <f>IFERROR(VLOOKUP($A65,'Balancete 2015'!$A:$D,4,0),"0")+O65</f>
        <v>809615.87</v>
      </c>
      <c r="E65" s="29"/>
      <c r="F65" s="29"/>
      <c r="G65" s="29"/>
      <c r="H65" s="29"/>
      <c r="I65" s="125">
        <f>IFERROR(VLOOKUP($A65,'Balancete 2016'!$A:$D,4,0),"0")</f>
        <v>820586.71</v>
      </c>
      <c r="J65" s="6"/>
      <c r="K65" s="57"/>
      <c r="M65" s="87" t="str">
        <f>VLOOKUP(A65,'1 sem.15'!A:D,1,0)</f>
        <v>8.1.7.33.11.06</v>
      </c>
      <c r="N65" s="88" t="str">
        <f>VLOOKUP(A65,'1 sem.15'!A:D,3,0)</f>
        <v>DESP DE PESSOAL - CTVA/CAIXAPAR</v>
      </c>
      <c r="O65" s="88">
        <f>VLOOKUP(A65,'1 sem.15'!A:D,4,0)</f>
        <v>393825.44</v>
      </c>
      <c r="P65" s="7"/>
      <c r="Q65" s="6"/>
    </row>
    <row r="66" spans="1:17">
      <c r="A66" s="30" t="s">
        <v>101</v>
      </c>
      <c r="B66" s="29">
        <v>-8</v>
      </c>
      <c r="C66" s="29" t="s">
        <v>470</v>
      </c>
      <c r="D66" s="71">
        <f>IFERROR(VLOOKUP($A66,'Balancete 2015'!$A:$D,4,0),"0")+O66</f>
        <v>45103.53</v>
      </c>
      <c r="E66" s="29"/>
      <c r="F66" s="29"/>
      <c r="G66" s="29"/>
      <c r="H66" s="29"/>
      <c r="I66" s="125">
        <f>IFERROR(VLOOKUP($A66,'Balancete 2016'!$A:$D,4,0),"0")</f>
        <v>43236.51</v>
      </c>
      <c r="J66" s="6"/>
      <c r="K66" s="57"/>
      <c r="M66" s="87" t="str">
        <f>VLOOKUP(A66,'1 sem.15'!A:D,1,0)</f>
        <v>8.1.7.33.11.11</v>
      </c>
      <c r="N66" s="88" t="str">
        <f>VLOOKUP(A66,'1 sem.15'!A:D,3,0)</f>
        <v>DESP DE PESSOAL - APIP/CAIXAPAR</v>
      </c>
      <c r="O66" s="88">
        <f>VLOOKUP(A66,'1 sem.15'!A:D,4,0)</f>
        <v>22407.08</v>
      </c>
      <c r="P66" s="7"/>
      <c r="Q66" s="6"/>
    </row>
    <row r="67" spans="1:17">
      <c r="A67" s="30" t="s">
        <v>102</v>
      </c>
      <c r="B67" s="29">
        <v>-4</v>
      </c>
      <c r="C67" s="29" t="s">
        <v>471</v>
      </c>
      <c r="D67" s="71">
        <f>IFERROR(VLOOKUP($A67,'Balancete 2015'!$A:$D,4,0),"0")+O67</f>
        <v>268830.06</v>
      </c>
      <c r="E67" s="29"/>
      <c r="F67" s="29"/>
      <c r="G67" s="29"/>
      <c r="H67" s="29"/>
      <c r="I67" s="125">
        <f>IFERROR(VLOOKUP($A67,'Balancete 2016'!$A:$D,4,0),"0")</f>
        <v>265394.40000000002</v>
      </c>
      <c r="J67" s="6"/>
      <c r="K67" s="57"/>
      <c r="M67" s="87" t="str">
        <f>VLOOKUP(A67,'1 sem.15'!A:D,1,0)</f>
        <v>8.1.7.33.11.13</v>
      </c>
      <c r="N67" s="88" t="str">
        <f>VLOOKUP(A67,'1 sem.15'!A:D,3,0)</f>
        <v>DESP DE PESSOAL - PROV 13º SAL/CAIXAPAR</v>
      </c>
      <c r="O67" s="88">
        <f>VLOOKUP(A67,'1 sem.15'!A:D,4,0)</f>
        <v>133732.03</v>
      </c>
      <c r="P67" s="7"/>
      <c r="Q67" s="6"/>
    </row>
    <row r="68" spans="1:17">
      <c r="A68" s="30" t="s">
        <v>103</v>
      </c>
      <c r="B68" s="29">
        <v>-2</v>
      </c>
      <c r="C68" s="29" t="s">
        <v>472</v>
      </c>
      <c r="D68" s="71">
        <f>IFERROR(VLOOKUP($A68,'Balancete 2015'!$A:$D,4,0),"0")+O68</f>
        <v>468922.47</v>
      </c>
      <c r="E68" s="29"/>
      <c r="F68" s="29"/>
      <c r="G68" s="29"/>
      <c r="H68" s="29"/>
      <c r="I68" s="125">
        <f>IFERROR(VLOOKUP($A68,'Balancete 2016'!$A:$D,4,0),"0")</f>
        <v>35864.04</v>
      </c>
      <c r="J68" s="6"/>
      <c r="K68" s="57"/>
      <c r="M68" s="87" t="str">
        <f>VLOOKUP(A68,'1 sem.15'!A:D,1,0)</f>
        <v>8.1.7.33.11.14</v>
      </c>
      <c r="N68" s="88" t="str">
        <f>VLOOKUP(A68,'1 sem.15'!A:D,3,0)</f>
        <v>DESP DE PESSOAL - PROV DE FERIAS/CAIXAPAR</v>
      </c>
      <c r="O68" s="88">
        <f>VLOOKUP(A68,'1 sem.15'!A:D,4,0)</f>
        <v>223584.45</v>
      </c>
      <c r="P68" s="7"/>
      <c r="Q68" s="6"/>
    </row>
    <row r="69" spans="1:17">
      <c r="A69" s="30" t="s">
        <v>104</v>
      </c>
      <c r="B69" s="29">
        <v>0</v>
      </c>
      <c r="C69" s="29" t="s">
        <v>473</v>
      </c>
      <c r="D69" s="71">
        <f>IFERROR(VLOOKUP($A69,'Balancete 2015'!$A:$D,4,0),"0")+O69</f>
        <v>48362.89</v>
      </c>
      <c r="E69" s="29"/>
      <c r="F69" s="29"/>
      <c r="G69" s="29"/>
      <c r="H69" s="29"/>
      <c r="I69" s="125">
        <f>IFERROR(VLOOKUP($A69,'Balancete 2016'!$A:$D,4,0),"0")</f>
        <v>48254.87</v>
      </c>
      <c r="J69" s="6"/>
      <c r="K69" s="57"/>
      <c r="M69" s="87" t="str">
        <f>VLOOKUP(A69,'1 sem.15'!A:D,1,0)</f>
        <v>8.1.7.33.11.15</v>
      </c>
      <c r="N69" s="88" t="str">
        <f>VLOOKUP(A69,'1 sem.15'!A:D,3,0)</f>
        <v>DESP DE PESSOAL - LICENCA PREMIO/CAIXAPAR</v>
      </c>
      <c r="O69" s="88">
        <f>VLOOKUP(A69,'1 sem.15'!A:D,4,0)</f>
        <v>23948.82</v>
      </c>
      <c r="P69" s="7"/>
      <c r="Q69" s="6"/>
    </row>
    <row r="70" spans="1:17">
      <c r="A70" s="30" t="s">
        <v>105</v>
      </c>
      <c r="B70" s="29">
        <v>-9</v>
      </c>
      <c r="C70" s="29" t="s">
        <v>474</v>
      </c>
      <c r="D70" s="71">
        <f>IFERROR(VLOOKUP($A70,'Balancete 2015'!$A:$D,4,0),"0")+O70</f>
        <v>201.16000000000003</v>
      </c>
      <c r="E70" s="29"/>
      <c r="F70" s="29"/>
      <c r="G70" s="29"/>
      <c r="H70" s="29"/>
      <c r="I70" s="125">
        <f>IFERROR(VLOOKUP($A70,'Balancete 2016'!$A:$D,4,0),"0")</f>
        <v>12.25</v>
      </c>
      <c r="J70" s="6"/>
      <c r="K70" s="57"/>
      <c r="M70" s="87" t="str">
        <f>VLOOKUP(A70,'1 sem.15'!A:D,1,0)</f>
        <v>8.1.7.33.11.16</v>
      </c>
      <c r="N70" s="88" t="str">
        <f>VLOOKUP(A70,'1 sem.15'!A:D,3,0)</f>
        <v>DESP DE PESSOAL - ADIC NOTURNO/CAIXAPAR</v>
      </c>
      <c r="O70" s="88">
        <f>VLOOKUP(A70,'1 sem.15'!A:D,4,0)</f>
        <v>184.52</v>
      </c>
      <c r="P70" s="7"/>
      <c r="Q70" s="6"/>
    </row>
    <row r="71" spans="1:17">
      <c r="A71" s="30" t="s">
        <v>475</v>
      </c>
      <c r="B71" s="29">
        <v>-1</v>
      </c>
      <c r="C71" s="29" t="s">
        <v>476</v>
      </c>
      <c r="D71" s="71">
        <f>IFERROR(VLOOKUP($A71,'Balancete 2015'!$A:$D,4,0),"0")+O71</f>
        <v>25652</v>
      </c>
      <c r="E71" s="29"/>
      <c r="F71" s="29"/>
      <c r="G71" s="29"/>
      <c r="H71" s="29"/>
      <c r="I71" s="125">
        <f>IFERROR(VLOOKUP($A71,'Balancete 2016'!$A:$D,4,0),"0")</f>
        <v>99853.5</v>
      </c>
      <c r="J71" s="6"/>
      <c r="K71" s="57"/>
      <c r="L71" s="82"/>
      <c r="M71" s="87" t="str">
        <f>+A71</f>
        <v>8.1.7.33.11.99</v>
      </c>
      <c r="N71" s="88" t="str">
        <f>+C71</f>
        <v>DESP DE PESSOAL - OUTRAS DESP VANT PESS/CAIXAPAR</v>
      </c>
      <c r="O71" s="88">
        <v>0</v>
      </c>
      <c r="P71" s="7"/>
      <c r="Q71" s="6"/>
    </row>
    <row r="72" spans="1:17" s="93" customFormat="1">
      <c r="A72" s="77" t="s">
        <v>604</v>
      </c>
      <c r="B72" s="78"/>
      <c r="C72" s="78" t="s">
        <v>949</v>
      </c>
      <c r="D72" s="125">
        <f>IFERROR(VLOOKUP($A72,'Balancete 2015'!$A:$D,4,0),"0")+O72</f>
        <v>16719</v>
      </c>
      <c r="E72" s="78">
        <v>400</v>
      </c>
      <c r="F72" s="78"/>
      <c r="G72" s="78">
        <v>100</v>
      </c>
      <c r="H72" s="78"/>
      <c r="I72" s="125">
        <f>IFERROR(VLOOKUP($A72,'Balancete 2016'!$A:$D,4,0),"0")</f>
        <v>23428</v>
      </c>
      <c r="J72" s="95"/>
      <c r="K72" s="57"/>
      <c r="M72" s="103" t="s">
        <v>604</v>
      </c>
      <c r="N72" s="161" t="str">
        <f>+C72</f>
        <v>DESPESAS DE PESSOAL - TREINAMENTO</v>
      </c>
      <c r="O72" s="161">
        <f>VLOOKUP(A72,'1 sem.15'!A:D,4,0)</f>
        <v>16719</v>
      </c>
      <c r="P72" s="100"/>
      <c r="Q72" s="95"/>
    </row>
    <row r="73" spans="1:17">
      <c r="A73" s="56" t="s">
        <v>950</v>
      </c>
      <c r="B73" s="29"/>
      <c r="C73" s="29" t="s">
        <v>951</v>
      </c>
      <c r="D73" s="71">
        <f>IFERROR(VLOOKUP($A73,'Balancete 2015'!$A:$D,4,0),"0")+O73</f>
        <v>16719</v>
      </c>
      <c r="E73" s="29"/>
      <c r="F73" s="29"/>
      <c r="G73" s="29"/>
      <c r="H73" s="29"/>
      <c r="I73" s="125">
        <f>IFERROR(VLOOKUP($A73,'Balancete 2016'!$A:$D,4,0),"0")</f>
        <v>23428</v>
      </c>
      <c r="J73" s="6"/>
      <c r="K73" s="57"/>
      <c r="M73" s="89" t="s">
        <v>950</v>
      </c>
      <c r="N73" s="88" t="str">
        <f>+C73</f>
        <v>DESP DE PESSOAL - TREINAMENTO/CAIXAPAR</v>
      </c>
      <c r="O73" s="88">
        <f>VLOOKUP(A73,'1 sem.15'!A:D,4,0)</f>
        <v>16719</v>
      </c>
      <c r="P73" s="7"/>
      <c r="Q73" s="6"/>
    </row>
    <row r="74" spans="1:17">
      <c r="A74" s="56" t="s">
        <v>952</v>
      </c>
      <c r="B74" s="29"/>
      <c r="C74" s="29" t="s">
        <v>953</v>
      </c>
      <c r="D74" s="71">
        <f>IFERROR(VLOOKUP($A74,'Balancete 2015'!$A:$D,4,0),"0")+O74</f>
        <v>16719</v>
      </c>
      <c r="E74" s="29"/>
      <c r="F74" s="29"/>
      <c r="G74" s="29"/>
      <c r="H74" s="29"/>
      <c r="I74" s="125">
        <f>IFERROR(VLOOKUP($A74,'Balancete 2016'!$A:$D,4,0),"0")</f>
        <v>23428</v>
      </c>
      <c r="J74" s="6"/>
      <c r="K74" s="57"/>
      <c r="M74" s="89" t="s">
        <v>952</v>
      </c>
      <c r="N74" s="88" t="str">
        <f>+C74</f>
        <v>DESP DE PESSOAL - OUTRAS DESP TREINA/CAIXAPAR</v>
      </c>
      <c r="O74" s="88">
        <f>VLOOKUP(A74,'1 sem.15'!A:D,4,0)</f>
        <v>16719</v>
      </c>
      <c r="P74" s="7"/>
      <c r="Q74" s="6"/>
    </row>
    <row r="75" spans="1:17">
      <c r="A75" s="89" t="s">
        <v>1048</v>
      </c>
      <c r="B75" s="89">
        <v>-7</v>
      </c>
      <c r="C75" s="89" t="s">
        <v>1049</v>
      </c>
      <c r="D75" s="71"/>
      <c r="E75" s="29">
        <v>400</v>
      </c>
      <c r="F75" s="29">
        <v>100</v>
      </c>
      <c r="G75" s="29">
        <v>900</v>
      </c>
      <c r="H75" s="29"/>
      <c r="I75" s="125">
        <f>IFERROR(VLOOKUP($A75,'Balancete 2016'!$A:$D,4,0),"0")</f>
        <v>111766.69</v>
      </c>
      <c r="J75" s="6"/>
      <c r="K75" s="57"/>
      <c r="M75" s="89"/>
      <c r="N75" s="88"/>
      <c r="O75" s="88"/>
      <c r="P75" s="7"/>
      <c r="Q75" s="6"/>
    </row>
    <row r="76" spans="1:17">
      <c r="A76" s="89" t="s">
        <v>1050</v>
      </c>
      <c r="B76" s="89">
        <v>-9</v>
      </c>
      <c r="C76" s="89" t="s">
        <v>1051</v>
      </c>
      <c r="D76" s="71"/>
      <c r="E76" s="29"/>
      <c r="F76" s="29"/>
      <c r="G76" s="29"/>
      <c r="H76" s="29"/>
      <c r="I76" s="125">
        <f>IFERROR(VLOOKUP($A76,'Balancete 2016'!$A:$D,4,0),"0")</f>
        <v>111766.69</v>
      </c>
      <c r="J76" s="6"/>
      <c r="K76" s="57"/>
      <c r="M76" s="89"/>
      <c r="N76" s="88"/>
      <c r="O76" s="88"/>
      <c r="P76" s="7"/>
      <c r="Q76" s="6"/>
    </row>
    <row r="77" spans="1:17">
      <c r="A77" s="89" t="s">
        <v>1052</v>
      </c>
      <c r="B77" s="89">
        <v>-7</v>
      </c>
      <c r="C77" s="89" t="s">
        <v>1051</v>
      </c>
      <c r="D77" s="71"/>
      <c r="E77" s="29"/>
      <c r="F77" s="29"/>
      <c r="G77" s="29"/>
      <c r="H77" s="29"/>
      <c r="I77" s="125">
        <f>IFERROR(VLOOKUP($A77,'Balancete 2016'!$A:$D,4,0),"0")</f>
        <v>111766.69</v>
      </c>
      <c r="J77" s="6"/>
      <c r="K77" s="57"/>
      <c r="M77" s="89"/>
      <c r="N77" s="88"/>
      <c r="O77" s="88"/>
      <c r="P77" s="7"/>
      <c r="Q77" s="6"/>
    </row>
    <row r="78" spans="1:17" s="93" customFormat="1">
      <c r="A78" s="84" t="s">
        <v>754</v>
      </c>
      <c r="B78" s="78"/>
      <c r="C78" s="78" t="s">
        <v>788</v>
      </c>
      <c r="D78" s="125">
        <f>IFERROR(VLOOKUP($A78,'Balancete 2015'!$A:$D,4,0),"0")+O78</f>
        <v>23405.16</v>
      </c>
      <c r="E78" s="78">
        <v>400</v>
      </c>
      <c r="F78" s="78">
        <v>100</v>
      </c>
      <c r="G78" s="78">
        <v>900</v>
      </c>
      <c r="H78" s="78"/>
      <c r="I78" s="125">
        <f>IFERROR(VLOOKUP($A78,'Balancete 2016'!$A:$D,4,0),"0")</f>
        <v>93620.64</v>
      </c>
      <c r="J78" s="95"/>
      <c r="K78" s="57"/>
      <c r="L78" s="82"/>
      <c r="M78" s="87" t="str">
        <f>+A78</f>
        <v>8.1.7.57</v>
      </c>
      <c r="N78" s="161" t="str">
        <f>+C78</f>
        <v>DESPESAS DE SERVIÇOS DE TERCEIROS</v>
      </c>
      <c r="O78" s="161">
        <v>0</v>
      </c>
      <c r="P78" s="100"/>
      <c r="Q78" s="95"/>
    </row>
    <row r="79" spans="1:17">
      <c r="A79" s="30" t="s">
        <v>755</v>
      </c>
      <c r="B79" s="29"/>
      <c r="C79" s="29" t="s">
        <v>788</v>
      </c>
      <c r="D79" s="71">
        <f>IFERROR(VLOOKUP($A79,'Balancete 2015'!$A:$D,4,0),"0")+O79</f>
        <v>23405.16</v>
      </c>
      <c r="E79" s="29"/>
      <c r="F79" s="29"/>
      <c r="G79" s="29"/>
      <c r="H79" s="29"/>
      <c r="I79" s="125">
        <f>IFERROR(VLOOKUP($A79,'Balancete 2016'!$A:$D,4,0),"0")</f>
        <v>93620.64</v>
      </c>
      <c r="J79" s="6"/>
      <c r="K79" s="57"/>
      <c r="L79" s="82"/>
      <c r="M79" s="87" t="str">
        <f>+A79</f>
        <v>8.1.7.57.10</v>
      </c>
      <c r="N79" s="88" t="str">
        <f>+C79</f>
        <v>DESPESAS DE SERVIÇOS DE TERCEIROS</v>
      </c>
      <c r="O79" s="88">
        <v>0</v>
      </c>
      <c r="P79" s="7"/>
      <c r="Q79" s="6"/>
    </row>
    <row r="80" spans="1:17">
      <c r="A80" s="30" t="s">
        <v>756</v>
      </c>
      <c r="B80" s="29"/>
      <c r="C80" s="29" t="s">
        <v>789</v>
      </c>
      <c r="D80" s="71">
        <f>IFERROR(VLOOKUP($A80,'Balancete 2015'!$A:$D,4,0),"0")+O80</f>
        <v>23405.16</v>
      </c>
      <c r="E80" s="29"/>
      <c r="F80" s="29"/>
      <c r="G80" s="29"/>
      <c r="H80" s="29"/>
      <c r="I80" s="125">
        <f>IFERROR(VLOOKUP($A80,'Balancete 2016'!$A:$D,4,0),"0")</f>
        <v>93620.64</v>
      </c>
      <c r="J80" s="6"/>
      <c r="K80" s="57"/>
      <c r="L80" s="82"/>
      <c r="M80" s="87" t="str">
        <f>+A80</f>
        <v>8.1.7.57.10.37</v>
      </c>
      <c r="N80" s="88" t="str">
        <f>+C80</f>
        <v>DESPESAS DE SERVIÇOS DE RECEPCIONISTAS</v>
      </c>
      <c r="O80" s="88">
        <v>0</v>
      </c>
      <c r="P80" s="7"/>
      <c r="Q80" s="6"/>
    </row>
    <row r="81" spans="1:17" s="93" customFormat="1">
      <c r="A81" s="84" t="s">
        <v>106</v>
      </c>
      <c r="B81" s="78">
        <v>-8</v>
      </c>
      <c r="C81" s="78" t="s">
        <v>107</v>
      </c>
      <c r="D81" s="125">
        <f>IFERROR(VLOOKUP($A81,'Balancete 2015'!$A:$D,4,0),"0")+O81</f>
        <v>33484.199999999997</v>
      </c>
      <c r="E81" s="78">
        <v>400</v>
      </c>
      <c r="F81" s="78">
        <v>100</v>
      </c>
      <c r="G81" s="78">
        <v>900</v>
      </c>
      <c r="H81" s="78"/>
      <c r="I81" s="125">
        <f>IFERROR(VLOOKUP($A81,'Balancete 2016'!$A:$D,4,0),"0")</f>
        <v>35912.519999999997</v>
      </c>
      <c r="J81" s="95"/>
      <c r="K81" s="57"/>
      <c r="M81" s="87" t="str">
        <f>VLOOKUP(A81,'1 sem.15'!A:D,1,0)</f>
        <v>8.1.7.60</v>
      </c>
      <c r="N81" s="161" t="str">
        <f>VLOOKUP(A81,'1 sem.15'!A:D,3,0)</f>
        <v>DESPESAS DE SERVICOS DE VIGILANCIA E SEGURANCA</v>
      </c>
      <c r="O81" s="161">
        <f>VLOOKUP(A81,'1 sem.15'!A:D,4,0)</f>
        <v>16135.02</v>
      </c>
      <c r="P81" s="100"/>
      <c r="Q81" s="95"/>
    </row>
    <row r="82" spans="1:17">
      <c r="A82" s="30" t="s">
        <v>108</v>
      </c>
      <c r="B82" s="29">
        <v>0</v>
      </c>
      <c r="C82" s="29" t="s">
        <v>477</v>
      </c>
      <c r="D82" s="71">
        <f>IFERROR(VLOOKUP($A82,'Balancete 2015'!$A:$D,4,0),"0")+O82</f>
        <v>33484.199999999997</v>
      </c>
      <c r="E82" s="29"/>
      <c r="F82" s="29"/>
      <c r="G82" s="29"/>
      <c r="H82" s="29"/>
      <c r="I82" s="125">
        <f>IFERROR(VLOOKUP($A82,'Balancete 2016'!$A:$D,4,0),"0")</f>
        <v>35912.519999999997</v>
      </c>
      <c r="J82" s="6"/>
      <c r="K82" s="57"/>
      <c r="M82" s="87" t="str">
        <f>VLOOKUP(A82,'1 sem.15'!A:D,1,0)</f>
        <v>8.1.7.60.11</v>
      </c>
      <c r="N82" s="88" t="str">
        <f>VLOOKUP(A82,'1 sem.15'!A:D,3,0)</f>
        <v>DESP DE SERV DE VIGILANCIA E SEGURANÇA/CAIXAPAR</v>
      </c>
      <c r="O82" s="88">
        <f>VLOOKUP(A82,'1 sem.15'!A:D,4,0)</f>
        <v>16135.02</v>
      </c>
      <c r="P82" s="7"/>
      <c r="Q82" s="6"/>
    </row>
    <row r="83" spans="1:17">
      <c r="A83" s="30" t="s">
        <v>109</v>
      </c>
      <c r="B83" s="29">
        <v>-8</v>
      </c>
      <c r="C83" s="29" t="s">
        <v>478</v>
      </c>
      <c r="D83" s="71">
        <f>IFERROR(VLOOKUP($A83,'Balancete 2015'!$A:$D,4,0),"0")+O83</f>
        <v>33484.199999999997</v>
      </c>
      <c r="E83" s="29"/>
      <c r="F83" s="29"/>
      <c r="G83" s="29"/>
      <c r="H83" s="29"/>
      <c r="I83" s="125">
        <f>IFERROR(VLOOKUP($A83,'Balancete 2016'!$A:$D,4,0),"0")</f>
        <v>35912.519999999997</v>
      </c>
      <c r="J83" s="6"/>
      <c r="K83" s="57"/>
      <c r="M83" s="87" t="str">
        <f>VLOOKUP(A83,'1 sem.15'!A:D,1,0)</f>
        <v>8.1.7.60.11.01</v>
      </c>
      <c r="N83" s="88" t="str">
        <f>VLOOKUP(A83,'1 sem.15'!A:D,3,0)</f>
        <v>DESP DE SERV DE VIGILANCIA E SEGURANCA/CAIXAPAR</v>
      </c>
      <c r="O83" s="88">
        <f>VLOOKUP(A83,'1 sem.15'!A:D,4,0)</f>
        <v>16135.02</v>
      </c>
      <c r="P83" s="7"/>
      <c r="Q83" s="6"/>
    </row>
    <row r="84" spans="1:17" s="93" customFormat="1">
      <c r="A84" s="84" t="s">
        <v>110</v>
      </c>
      <c r="B84" s="78">
        <v>-1</v>
      </c>
      <c r="C84" s="78" t="s">
        <v>111</v>
      </c>
      <c r="D84" s="125">
        <f>IFERROR(VLOOKUP($A84,'Balancete 2015'!$A:$D,4,0),"0")+O84</f>
        <v>2405317.27</v>
      </c>
      <c r="E84" s="78">
        <v>400</v>
      </c>
      <c r="F84" s="78">
        <v>100</v>
      </c>
      <c r="G84" s="78">
        <v>800</v>
      </c>
      <c r="H84" s="78"/>
      <c r="I84" s="125">
        <f>IFERROR(VLOOKUP($A84,'Balancete 2016'!$A:$D,4,0),"0")</f>
        <v>4032176.79</v>
      </c>
      <c r="J84" s="95"/>
      <c r="K84" s="57"/>
      <c r="M84" s="87" t="str">
        <f>VLOOKUP(A84,'1 sem.15'!A:D,1,0)</f>
        <v>8.1.7.63</v>
      </c>
      <c r="N84" s="161" t="str">
        <f>VLOOKUP(A84,'1 sem.15'!A:D,3,0)</f>
        <v>DESPESAS DE SERVICOS TECNICOS ESPECIALIZADOS</v>
      </c>
      <c r="O84" s="161">
        <f>VLOOKUP(A84,'1 sem.15'!A:D,4,0)</f>
        <v>1544995</v>
      </c>
      <c r="P84" s="100"/>
      <c r="Q84" s="95"/>
    </row>
    <row r="85" spans="1:17">
      <c r="A85" s="30" t="s">
        <v>112</v>
      </c>
      <c r="B85" s="29">
        <v>-2</v>
      </c>
      <c r="C85" s="29" t="s">
        <v>479</v>
      </c>
      <c r="D85" s="71">
        <f>IFERROR(VLOOKUP($A85,'Balancete 2015'!$A:$D,4,0),"0")+O85</f>
        <v>2405317.27</v>
      </c>
      <c r="E85" s="29"/>
      <c r="F85" s="29"/>
      <c r="G85" s="29"/>
      <c r="H85" s="29"/>
      <c r="I85" s="125">
        <f>IFERROR(VLOOKUP($A85,'Balancete 2016'!$A:$D,4,0),"0")</f>
        <v>4032176.79</v>
      </c>
      <c r="J85" s="6"/>
      <c r="K85" s="57"/>
      <c r="M85" s="87" t="str">
        <f>VLOOKUP(A85,'1 sem.15'!A:D,1,0)</f>
        <v>8.1.7.63.20</v>
      </c>
      <c r="N85" s="88" t="str">
        <f>VLOOKUP(A85,'1 sem.15'!A:D,3,0)</f>
        <v>DESPESAS DE SERVICOS DE CONSULTORIA</v>
      </c>
      <c r="O85" s="88">
        <f>VLOOKUP(A85,'1 sem.15'!A:D,4,0)</f>
        <v>1544995</v>
      </c>
      <c r="P85" s="7"/>
      <c r="Q85" s="6"/>
    </row>
    <row r="86" spans="1:17">
      <c r="A86" s="30" t="s">
        <v>113</v>
      </c>
      <c r="B86" s="29">
        <v>0</v>
      </c>
      <c r="C86" s="29" t="s">
        <v>480</v>
      </c>
      <c r="D86" s="71">
        <f>IFERROR(VLOOKUP($A86,'Balancete 2015'!$A:$D,4,0),"0")+O86</f>
        <v>2060162</v>
      </c>
      <c r="E86" s="29"/>
      <c r="F86" s="29"/>
      <c r="G86" s="29"/>
      <c r="H86" s="29"/>
      <c r="I86" s="125">
        <f>IFERROR(VLOOKUP($A86,'Balancete 2016'!$A:$D,4,0),"0")</f>
        <v>4032176.79</v>
      </c>
      <c r="J86" s="6"/>
      <c r="K86" s="57"/>
      <c r="M86" s="87" t="str">
        <f>VLOOKUP(A86,'1 sem.15'!A:D,1,0)</f>
        <v>8.1.7.63.20.01</v>
      </c>
      <c r="N86" s="88" t="str">
        <f>VLOOKUP(A86,'1 sem.15'!A:D,3,0)</f>
        <v>DESP DE SERV DE CONSULTORIA/CAIXAPAR</v>
      </c>
      <c r="O86" s="88">
        <f>VLOOKUP(A86,'1 sem.15'!A:D,4,0)</f>
        <v>1544995</v>
      </c>
      <c r="P86" s="7"/>
      <c r="Q86" s="6"/>
    </row>
    <row r="87" spans="1:17">
      <c r="A87" s="56" t="s">
        <v>757</v>
      </c>
      <c r="B87" s="29"/>
      <c r="C87" s="29" t="s">
        <v>790</v>
      </c>
      <c r="D87" s="71">
        <f>IFERROR(VLOOKUP($A87,'Balancete 2015'!$A:$D,4,0),"0")+O87</f>
        <v>345155.27</v>
      </c>
      <c r="E87" s="29"/>
      <c r="F87" s="29"/>
      <c r="G87" s="29"/>
      <c r="H87" s="29"/>
      <c r="I87" s="125" t="str">
        <f>IFERROR(VLOOKUP($A87,'Balancete 2016'!$A:$D,4,0),"0")</f>
        <v>0</v>
      </c>
      <c r="J87" s="6"/>
      <c r="K87" s="57"/>
      <c r="M87" s="87" t="str">
        <f>+A87</f>
        <v>8.1.7.63.20.02</v>
      </c>
      <c r="N87" s="88" t="str">
        <f>+C87</f>
        <v>DESP DE SERV DE AUDITORIA</v>
      </c>
      <c r="O87" s="88">
        <v>0</v>
      </c>
      <c r="P87" s="7"/>
      <c r="Q87" s="6"/>
    </row>
    <row r="88" spans="1:17" s="93" customFormat="1">
      <c r="A88" s="84" t="s">
        <v>114</v>
      </c>
      <c r="B88" s="78">
        <v>-9</v>
      </c>
      <c r="C88" s="78" t="s">
        <v>115</v>
      </c>
      <c r="D88" s="125">
        <f>IFERROR(VLOOKUP($A88,'Balancete 2015'!$A:$D,4,0),"0")+O88</f>
        <v>359.70000000000005</v>
      </c>
      <c r="E88" s="78">
        <v>400</v>
      </c>
      <c r="F88" s="78"/>
      <c r="G88" s="78">
        <v>900</v>
      </c>
      <c r="H88" s="78"/>
      <c r="I88" s="125">
        <f>IFERROR(VLOOKUP($A88,'Balancete 2016'!$A:$D,4,0),"0")</f>
        <v>348.56</v>
      </c>
      <c r="J88" s="95"/>
      <c r="K88" s="57"/>
      <c r="M88" s="87" t="str">
        <f>VLOOKUP(A88,'1 sem.15'!A:D,1,0)</f>
        <v>8.1.7.69</v>
      </c>
      <c r="N88" s="161" t="str">
        <f>VLOOKUP(A88,'1 sem.15'!A:D,3,0)</f>
        <v>DESPESAS TRIBUTARIAS</v>
      </c>
      <c r="O88" s="161">
        <f>VLOOKUP(A88,'1 sem.15'!A:D,4,0)</f>
        <v>154.9</v>
      </c>
      <c r="P88" s="100"/>
      <c r="Q88" s="95"/>
    </row>
    <row r="89" spans="1:17">
      <c r="A89" s="30" t="s">
        <v>116</v>
      </c>
      <c r="B89" s="29">
        <v>0</v>
      </c>
      <c r="C89" s="29" t="s">
        <v>481</v>
      </c>
      <c r="D89" s="71">
        <f>IFERROR(VLOOKUP($A89,'Balancete 2015'!$A:$D,4,0),"0")+O89</f>
        <v>359.70000000000005</v>
      </c>
      <c r="E89" s="29"/>
      <c r="F89" s="29"/>
      <c r="G89" s="29"/>
      <c r="H89" s="29"/>
      <c r="I89" s="125">
        <f>IFERROR(VLOOKUP($A89,'Balancete 2016'!$A:$D,4,0),"0")</f>
        <v>348.56</v>
      </c>
      <c r="J89" s="6"/>
      <c r="K89" s="57"/>
      <c r="M89" s="87" t="str">
        <f>VLOOKUP(A89,'1 sem.15'!A:D,1,0)</f>
        <v>8.1.7.69.20</v>
      </c>
      <c r="N89" s="88" t="str">
        <f>VLOOKUP(A89,'1 sem.15'!A:D,3,0)</f>
        <v>DESPESAS TRIBUTARIAS</v>
      </c>
      <c r="O89" s="88">
        <f>VLOOKUP(A89,'1 sem.15'!A:D,4,0)</f>
        <v>154.9</v>
      </c>
      <c r="P89" s="7"/>
      <c r="Q89" s="6"/>
    </row>
    <row r="90" spans="1:17">
      <c r="A90" s="30" t="s">
        <v>117</v>
      </c>
      <c r="B90" s="29">
        <v>-6</v>
      </c>
      <c r="C90" s="29" t="s">
        <v>482</v>
      </c>
      <c r="D90" s="71">
        <f>IFERROR(VLOOKUP($A90,'Balancete 2015'!$A:$D,4,0),"0")+O90</f>
        <v>359.70000000000005</v>
      </c>
      <c r="E90" s="29"/>
      <c r="F90" s="29"/>
      <c r="G90" s="29"/>
      <c r="H90" s="29"/>
      <c r="I90" s="125">
        <f>IFERROR(VLOOKUP($A90,'Balancete 2016'!$A:$D,4,0),"0")</f>
        <v>348.56</v>
      </c>
      <c r="J90" s="6"/>
      <c r="K90" s="57"/>
      <c r="M90" s="87" t="str">
        <f>VLOOKUP(A90,'1 sem.15'!A:D,1,0)</f>
        <v>8.1.7.69.20.02</v>
      </c>
      <c r="N90" s="88" t="str">
        <f>VLOOKUP(A90,'1 sem.15'!A:D,3,0)</f>
        <v>DESPESAS DE TRIBUTOS FEDERAIS - IOF</v>
      </c>
      <c r="O90" s="88">
        <f>VLOOKUP(A90,'1 sem.15'!A:D,4,0)</f>
        <v>154.9</v>
      </c>
      <c r="P90" s="7"/>
      <c r="Q90" s="6"/>
    </row>
    <row r="91" spans="1:17" s="93" customFormat="1">
      <c r="A91" s="84" t="s">
        <v>118</v>
      </c>
      <c r="B91" s="78">
        <v>-4</v>
      </c>
      <c r="C91" s="78" t="s">
        <v>119</v>
      </c>
      <c r="D91" s="125">
        <f>IFERROR(VLOOKUP($A91,'Balancete 2015'!$A:$D,4,0),"0")+O91</f>
        <v>0</v>
      </c>
      <c r="E91" s="78">
        <v>400</v>
      </c>
      <c r="F91" s="78">
        <v>100</v>
      </c>
      <c r="G91" s="78">
        <v>700</v>
      </c>
      <c r="H91" s="78"/>
      <c r="I91" s="125">
        <f>IFERROR(VLOOKUP($A91,'Balancete 2016'!$A:$D,4,0),"0")</f>
        <v>53795.34</v>
      </c>
      <c r="J91" s="95"/>
      <c r="K91" s="57"/>
      <c r="M91" s="87" t="str">
        <f>+A91</f>
        <v>8.1.7.75</v>
      </c>
      <c r="N91" s="161" t="str">
        <f>+C91</f>
        <v>DESPESAS DE VIAGEM NO PAIS</v>
      </c>
      <c r="O91" s="161">
        <v>0</v>
      </c>
      <c r="P91" s="100"/>
      <c r="Q91" s="95"/>
    </row>
    <row r="92" spans="1:17">
      <c r="A92" s="30" t="s">
        <v>120</v>
      </c>
      <c r="B92" s="29">
        <v>-5</v>
      </c>
      <c r="C92" s="29" t="s">
        <v>483</v>
      </c>
      <c r="D92" s="71">
        <f>IFERROR(VLOOKUP($A92,'Balancete 2015'!$A:$D,4,0),"0")+O92</f>
        <v>0</v>
      </c>
      <c r="E92" s="29"/>
      <c r="F92" s="29"/>
      <c r="G92" s="29"/>
      <c r="H92" s="29"/>
      <c r="I92" s="125">
        <f>IFERROR(VLOOKUP($A92,'Balancete 2016'!$A:$D,4,0),"0")</f>
        <v>53795.34</v>
      </c>
      <c r="J92" s="6"/>
      <c r="K92" s="57"/>
      <c r="M92" s="87" t="str">
        <f>+A92</f>
        <v>8.1.7.75.20</v>
      </c>
      <c r="N92" s="88" t="str">
        <f>+C92</f>
        <v>DESPESAS DE VIAGENS NO PAIS/CAIXAPAR</v>
      </c>
      <c r="O92" s="88">
        <v>0</v>
      </c>
      <c r="P92" s="7"/>
      <c r="Q92" s="6"/>
    </row>
    <row r="93" spans="1:17">
      <c r="A93" s="30" t="s">
        <v>121</v>
      </c>
      <c r="B93" s="29">
        <v>-3</v>
      </c>
      <c r="C93" s="29" t="s">
        <v>483</v>
      </c>
      <c r="D93" s="71">
        <f>IFERROR(VLOOKUP($A93,'Balancete 2015'!$A:$D,4,0),"0")+O93</f>
        <v>0</v>
      </c>
      <c r="E93" s="29"/>
      <c r="F93" s="29"/>
      <c r="G93" s="29"/>
      <c r="H93" s="29"/>
      <c r="I93" s="125">
        <f>IFERROR(VLOOKUP($A93,'Balancete 2016'!$A:$D,4,0),"0")</f>
        <v>53795.34</v>
      </c>
      <c r="J93" s="6"/>
      <c r="K93" s="57"/>
      <c r="M93" s="87" t="str">
        <f>+A93</f>
        <v>8.1.7.75.20.01</v>
      </c>
      <c r="N93" s="88" t="str">
        <f>+C93</f>
        <v>DESPESAS DE VIAGENS NO PAIS/CAIXAPAR</v>
      </c>
      <c r="O93" s="88">
        <v>0</v>
      </c>
      <c r="P93" s="7"/>
      <c r="Q93" s="6"/>
    </row>
    <row r="94" spans="1:17" s="93" customFormat="1">
      <c r="A94" s="84" t="s">
        <v>122</v>
      </c>
      <c r="B94" s="78">
        <v>0</v>
      </c>
      <c r="C94" s="78" t="s">
        <v>123</v>
      </c>
      <c r="D94" s="125">
        <f>IFERROR(VLOOKUP($A94,'Balancete 2015'!$A:$D,4,0),"0")+O94</f>
        <v>231820.38999999998</v>
      </c>
      <c r="E94" s="78">
        <v>400</v>
      </c>
      <c r="F94" s="78"/>
      <c r="G94" s="78">
        <v>900</v>
      </c>
      <c r="H94" s="78"/>
      <c r="I94" s="125">
        <f>IFERROR(VLOOKUP($A94,'Balancete 2016'!$A:$D,4,0),"0")</f>
        <v>254791.57</v>
      </c>
      <c r="J94" s="95"/>
      <c r="K94" s="57"/>
      <c r="M94" s="87" t="str">
        <f>VLOOKUP(A94,'1 sem.15'!A:D,1,0)</f>
        <v>8.1.7.99</v>
      </c>
      <c r="N94" s="161" t="str">
        <f>VLOOKUP(A94,'1 sem.15'!A:D,3,0)</f>
        <v>OUTRAS DESPESAS ADMINISTRATIVAS</v>
      </c>
      <c r="O94" s="161">
        <f>VLOOKUP(A94,'1 sem.15'!A:D,4,0)</f>
        <v>55462.46</v>
      </c>
      <c r="P94" s="100"/>
      <c r="Q94" s="95"/>
    </row>
    <row r="95" spans="1:17">
      <c r="A95" s="30" t="s">
        <v>124</v>
      </c>
      <c r="B95" s="29">
        <v>-7</v>
      </c>
      <c r="C95" s="29" t="s">
        <v>484</v>
      </c>
      <c r="D95" s="71">
        <f>IFERROR(VLOOKUP($A95,'Balancete 2015'!$A:$D,4,0),"0")+O95</f>
        <v>231820.38999999998</v>
      </c>
      <c r="E95" s="29"/>
      <c r="F95" s="29">
        <v>100</v>
      </c>
      <c r="G95" s="29"/>
      <c r="H95" s="29"/>
      <c r="I95" s="125">
        <f>IFERROR(VLOOKUP($A95,'Balancete 2016'!$A:$D,4,0),"0")</f>
        <v>254791.57</v>
      </c>
      <c r="J95" s="6"/>
      <c r="K95" s="57"/>
      <c r="M95" s="87" t="str">
        <f>VLOOKUP(A95,'1 sem.15'!A:D,1,0)</f>
        <v>8.1.7.99.50</v>
      </c>
      <c r="N95" s="88" t="str">
        <f>VLOOKUP(A95,'1 sem.15'!A:D,3,0)</f>
        <v>OUTRAS DESPESAS ADMINISTRATIVAS/SUBS</v>
      </c>
      <c r="O95" s="88">
        <f>VLOOKUP(A95,'1 sem.15'!A:D,4,0)</f>
        <v>55462.46</v>
      </c>
      <c r="P95" s="7"/>
      <c r="Q95" s="6"/>
    </row>
    <row r="96" spans="1:17">
      <c r="A96" s="30" t="s">
        <v>485</v>
      </c>
      <c r="B96" s="29">
        <v>-3</v>
      </c>
      <c r="C96" s="29" t="s">
        <v>486</v>
      </c>
      <c r="D96" s="71">
        <f>IFERROR(VLOOKUP($A96,'Balancete 2015'!$A:$D,4,0),"0")+O96</f>
        <v>0</v>
      </c>
      <c r="E96" s="29"/>
      <c r="F96" s="29"/>
      <c r="G96" s="29"/>
      <c r="H96" s="29"/>
      <c r="I96" s="125" t="str">
        <f>IFERROR(VLOOKUP($A96,'Balancete 2016'!$A:$D,4,0),"0")</f>
        <v>0</v>
      </c>
      <c r="J96" s="6"/>
      <c r="K96" s="57"/>
      <c r="M96" s="87" t="str">
        <f>+A96</f>
        <v>8.1.7.99.50.02</v>
      </c>
      <c r="N96" s="88" t="str">
        <f>+C96</f>
        <v>OUTRAS DESP TX E TARIFAS AQUISICOES/CAIXAPAR</v>
      </c>
      <c r="O96" s="88">
        <v>0</v>
      </c>
      <c r="P96" s="7"/>
      <c r="Q96" s="6"/>
    </row>
    <row r="97" spans="1:17">
      <c r="A97" s="30" t="s">
        <v>290</v>
      </c>
      <c r="B97" s="29">
        <v>-1</v>
      </c>
      <c r="C97" s="29" t="s">
        <v>487</v>
      </c>
      <c r="D97" s="71">
        <f>IFERROR(VLOOKUP($A97,'Balancete 2015'!$A:$D,4,0),"0")+O97</f>
        <v>0</v>
      </c>
      <c r="E97" s="29"/>
      <c r="F97" s="29"/>
      <c r="G97" s="29"/>
      <c r="H97" s="29"/>
      <c r="I97" s="125" t="str">
        <f>IFERROR(VLOOKUP($A97,'Balancete 2016'!$A:$D,4,0),"0")</f>
        <v>0</v>
      </c>
      <c r="J97" s="6"/>
      <c r="K97" s="57"/>
      <c r="M97" s="87" t="str">
        <f>+A97</f>
        <v>8.1.7.99.50.03</v>
      </c>
      <c r="N97" s="88" t="str">
        <f>+C97</f>
        <v>DESP C EMOLUMENTOS E REGIST CART/CAIXAPAR</v>
      </c>
      <c r="O97" s="88">
        <v>0</v>
      </c>
      <c r="P97" s="7"/>
      <c r="Q97" s="6"/>
    </row>
    <row r="98" spans="1:17">
      <c r="A98" s="30" t="s">
        <v>125</v>
      </c>
      <c r="B98" s="29">
        <v>-6</v>
      </c>
      <c r="C98" s="29" t="s">
        <v>484</v>
      </c>
      <c r="D98" s="71">
        <f>IFERROR(VLOOKUP($A98,'Balancete 2015'!$A:$D,4,0),"0")+O98</f>
        <v>231820.38999999998</v>
      </c>
      <c r="E98" s="29"/>
      <c r="F98" s="29"/>
      <c r="G98" s="29"/>
      <c r="H98" s="29"/>
      <c r="I98" s="125">
        <f>IFERROR(VLOOKUP($A98,'Balancete 2016'!$A:$D,4,0),"0")</f>
        <v>254791.57</v>
      </c>
      <c r="J98" s="6"/>
      <c r="K98" s="57"/>
      <c r="M98" s="87" t="str">
        <f>VLOOKUP(A98,'1 sem.15'!A:D,1,0)</f>
        <v>8.1.7.99.50.99</v>
      </c>
      <c r="N98" s="88" t="str">
        <f>VLOOKUP(A98,'1 sem.15'!A:D,3,0)</f>
        <v>OUTRAS DESPESAS ADMINISTRATIVAS/SUB</v>
      </c>
      <c r="O98" s="88">
        <f>VLOOKUP(A98,'1 sem.15'!A:D,4,0)</f>
        <v>55462.46</v>
      </c>
      <c r="P98" s="7"/>
      <c r="Q98" s="6"/>
    </row>
    <row r="99" spans="1:17">
      <c r="A99" s="30" t="s">
        <v>126</v>
      </c>
      <c r="B99" s="29">
        <v>-4</v>
      </c>
      <c r="C99" s="29" t="s">
        <v>127</v>
      </c>
      <c r="D99" s="71">
        <f>IFERROR(VLOOKUP($A99,'Balancete 2015'!$A:$D,4,0),"0")+O99</f>
        <v>75</v>
      </c>
      <c r="E99" s="29"/>
      <c r="F99" s="29"/>
      <c r="G99" s="29"/>
      <c r="H99" s="29"/>
      <c r="I99" s="125">
        <f>IFERROR(VLOOKUP($A99,'Balancete 2016'!$A:$D,4,0),"0")</f>
        <v>34475887.07</v>
      </c>
      <c r="J99" s="6"/>
      <c r="K99" s="57"/>
      <c r="M99" s="87" t="str">
        <f>VLOOKUP(A99,'1 sem.15'!A:D,1,0)</f>
        <v>8.1.8</v>
      </c>
      <c r="N99" s="88" t="str">
        <f>VLOOKUP(A99,'1 sem.15'!A:D,3,0)</f>
        <v>APROVISIONAMENTOS E AJUSTES PATRIMONIAIS</v>
      </c>
      <c r="O99" s="88">
        <f>VLOOKUP(A99,'1 sem.15'!A:D,4,0)</f>
        <v>75</v>
      </c>
      <c r="P99" s="7"/>
      <c r="Q99" s="6"/>
    </row>
    <row r="100" spans="1:17">
      <c r="A100" s="84" t="s">
        <v>128</v>
      </c>
      <c r="B100" s="78">
        <v>-1</v>
      </c>
      <c r="C100" s="78" t="s">
        <v>129</v>
      </c>
      <c r="D100" s="125">
        <f>IFERROR(VLOOKUP($A100,'Balancete 2015'!$A:$D,4,0),"0")+O100</f>
        <v>75</v>
      </c>
      <c r="E100" s="78"/>
      <c r="F100" s="78"/>
      <c r="G100" s="78"/>
      <c r="H100" s="78"/>
      <c r="I100" s="125" t="str">
        <f>IFERROR(VLOOKUP($A100,'Balancete 2016'!$A:$D,4,0),"0")</f>
        <v>0</v>
      </c>
      <c r="J100" s="6"/>
      <c r="K100" s="57"/>
      <c r="M100" s="87" t="str">
        <f>VLOOKUP(A100,'1 sem.15'!A:D,1,0)</f>
        <v>8.1.8.20</v>
      </c>
      <c r="N100" s="88" t="str">
        <f>VLOOKUP(A100,'1 sem.15'!A:D,3,0)</f>
        <v>DESPESAS DE DEPRECIACAO</v>
      </c>
      <c r="O100" s="88">
        <f>VLOOKUP(A100,'1 sem.15'!A:D,4,0)</f>
        <v>75</v>
      </c>
      <c r="P100" s="7"/>
      <c r="Q100" s="6"/>
    </row>
    <row r="101" spans="1:17">
      <c r="A101" s="30" t="s">
        <v>130</v>
      </c>
      <c r="B101" s="29">
        <v>-7</v>
      </c>
      <c r="C101" s="29" t="s">
        <v>129</v>
      </c>
      <c r="D101" s="71">
        <f>IFERROR(VLOOKUP($A101,'Balancete 2015'!$A:$D,4,0),"0")+O101</f>
        <v>75</v>
      </c>
      <c r="E101" s="29"/>
      <c r="F101" s="29"/>
      <c r="G101" s="29"/>
      <c r="H101" s="29"/>
      <c r="I101" s="125" t="str">
        <f>IFERROR(VLOOKUP($A101,'Balancete 2016'!$A:$D,4,0),"0")</f>
        <v>0</v>
      </c>
      <c r="J101" s="6"/>
      <c r="K101" s="57"/>
      <c r="M101" s="87" t="str">
        <f>VLOOKUP(A101,'1 sem.15'!A:D,1,0)</f>
        <v>8.1.8.20.10</v>
      </c>
      <c r="N101" s="88" t="str">
        <f>VLOOKUP(A101,'1 sem.15'!A:D,3,0)</f>
        <v>DESPESAS DE DEPRECIACAO</v>
      </c>
      <c r="O101" s="88">
        <f>VLOOKUP(A101,'1 sem.15'!A:D,4,0)</f>
        <v>75</v>
      </c>
      <c r="P101" s="7"/>
      <c r="Q101" s="6"/>
    </row>
    <row r="102" spans="1:17">
      <c r="A102" s="30" t="s">
        <v>131</v>
      </c>
      <c r="B102" s="29">
        <v>-1</v>
      </c>
      <c r="C102" s="29" t="s">
        <v>488</v>
      </c>
      <c r="D102" s="125">
        <f>IFERROR(VLOOKUP($A102,'Balancete 2015'!$A:$D,4,0),"0")+O102</f>
        <v>75</v>
      </c>
      <c r="E102" s="29"/>
      <c r="F102" s="29"/>
      <c r="G102" s="29"/>
      <c r="H102" s="29"/>
      <c r="I102" s="125" t="str">
        <f>IFERROR(VLOOKUP($A102,'Balancete 2016'!$A:$D,4,0),"0")</f>
        <v>0</v>
      </c>
      <c r="J102" s="6"/>
      <c r="K102" s="57"/>
      <c r="M102" s="87" t="str">
        <f>VLOOKUP(A102,'1 sem.15'!A:D,1,0)</f>
        <v>8.1.8.20.10.20</v>
      </c>
      <c r="N102" s="88" t="str">
        <f>VLOOKUP(A102,'1 sem.15'!A:D,3,0)</f>
        <v>DESPESAS DE DEPRECIACAO MOV EQUIP/CAIXAPAR</v>
      </c>
      <c r="O102" s="88">
        <f>VLOOKUP(A102,'1 sem.15'!A:D,4,0)</f>
        <v>75</v>
      </c>
      <c r="P102" s="7"/>
      <c r="Q102" s="6"/>
    </row>
    <row r="103" spans="1:17">
      <c r="A103" s="89" t="s">
        <v>1057</v>
      </c>
      <c r="B103" s="89">
        <v>-5</v>
      </c>
      <c r="C103" s="89" t="s">
        <v>1058</v>
      </c>
      <c r="D103" s="125"/>
      <c r="E103" s="29">
        <v>200</v>
      </c>
      <c r="F103" s="29"/>
      <c r="G103" s="29"/>
      <c r="H103" s="29"/>
      <c r="I103" s="125">
        <f>IFERROR(VLOOKUP($A103,'Balancete 2016'!$A:$D,4,0),"0")</f>
        <v>34475887.07</v>
      </c>
      <c r="J103" s="6"/>
      <c r="K103" s="57"/>
      <c r="M103" s="87"/>
      <c r="N103" s="88"/>
      <c r="O103" s="88"/>
      <c r="P103" s="7"/>
      <c r="Q103" s="6"/>
    </row>
    <row r="104" spans="1:17">
      <c r="A104" s="89" t="s">
        <v>1059</v>
      </c>
      <c r="B104" s="89">
        <v>-6</v>
      </c>
      <c r="C104" s="89" t="s">
        <v>1060</v>
      </c>
      <c r="D104" s="125"/>
      <c r="E104" s="29"/>
      <c r="F104" s="29"/>
      <c r="G104" s="29"/>
      <c r="H104" s="29"/>
      <c r="I104" s="125">
        <f>IFERROR(VLOOKUP($A104,'Balancete 2016'!$A:$D,4,0),"0")</f>
        <v>34475887.07</v>
      </c>
      <c r="J104" s="6"/>
      <c r="K104" s="57"/>
      <c r="M104" s="87"/>
      <c r="N104" s="88"/>
      <c r="O104" s="88"/>
      <c r="P104" s="7"/>
      <c r="Q104" s="6"/>
    </row>
    <row r="105" spans="1:17">
      <c r="A105" s="89" t="s">
        <v>1061</v>
      </c>
      <c r="B105" s="89">
        <v>-3</v>
      </c>
      <c r="C105" s="89" t="s">
        <v>1062</v>
      </c>
      <c r="D105" s="125"/>
      <c r="E105" s="29"/>
      <c r="F105" s="29"/>
      <c r="G105" s="29"/>
      <c r="H105" s="29"/>
      <c r="I105" s="125">
        <f>IFERROR(VLOOKUP($A105,'Balancete 2016'!$A:$D,4,0),"0")</f>
        <v>34475887.07</v>
      </c>
      <c r="J105" s="6"/>
      <c r="K105" s="57"/>
      <c r="M105" s="87"/>
      <c r="N105" s="88"/>
      <c r="O105" s="88"/>
      <c r="P105" s="7"/>
      <c r="Q105" s="6"/>
    </row>
    <row r="106" spans="1:17">
      <c r="A106" s="30" t="s">
        <v>337</v>
      </c>
      <c r="B106" s="29">
        <v>-2</v>
      </c>
      <c r="C106" s="29" t="s">
        <v>132</v>
      </c>
      <c r="D106" s="125">
        <f>IFERROR(VLOOKUP($A106,'Balancete 2015'!$A:$D,4,0),"0")+O106</f>
        <v>23072498.32</v>
      </c>
      <c r="E106" s="29"/>
      <c r="F106" s="29"/>
      <c r="G106" s="29"/>
      <c r="H106" s="29"/>
      <c r="I106" s="125">
        <f>IFERROR(VLOOKUP($A106,'Balancete 2016'!$A:$D,4,0),"0")</f>
        <v>8726030.5800000001</v>
      </c>
      <c r="J106" s="6"/>
      <c r="K106" s="57"/>
      <c r="M106" s="87" t="str">
        <f>VLOOKUP(A106,'1 sem.15'!A:D,1,0)</f>
        <v>8.1.9</v>
      </c>
      <c r="N106" s="88" t="str">
        <f>VLOOKUP(A106,'1 sem.15'!A:D,3,0)</f>
        <v>OUTRAS DESPESAS OPERACIONAIS</v>
      </c>
      <c r="O106" s="88">
        <f>VLOOKUP(A106,'1 sem.15'!A:D,4,0)</f>
        <v>20083686.25</v>
      </c>
      <c r="P106" s="7"/>
      <c r="Q106" s="6"/>
    </row>
    <row r="107" spans="1:17" s="93" customFormat="1">
      <c r="A107" s="84" t="s">
        <v>133</v>
      </c>
      <c r="B107" s="78">
        <v>-3</v>
      </c>
      <c r="C107" s="78" t="s">
        <v>134</v>
      </c>
      <c r="D107" s="125">
        <f>IFERROR(VLOOKUP($A107,'Balancete 2015'!$A:$D,4,0),"0")+O107</f>
        <v>8699801.7300000004</v>
      </c>
      <c r="E107" s="78">
        <v>600</v>
      </c>
      <c r="F107" s="78">
        <v>300</v>
      </c>
      <c r="G107" s="78"/>
      <c r="H107" s="78"/>
      <c r="I107" s="125">
        <f>IFERROR(VLOOKUP($A107,'Balancete 2016'!$A:$D,4,0),"0")</f>
        <v>4838077.95</v>
      </c>
      <c r="J107" s="95"/>
      <c r="K107" s="57"/>
      <c r="M107" s="87" t="str">
        <f>VLOOKUP(A107,'1 sem.15'!A:D,1,0)</f>
        <v>8.1.9.30</v>
      </c>
      <c r="N107" s="161" t="str">
        <f>VLOOKUP(A107,'1 sem.15'!A:D,3,0)</f>
        <v>DESPESAS DE CONTRIBUICAO AO COFINS</v>
      </c>
      <c r="O107" s="161">
        <f>VLOOKUP(A107,'1 sem.15'!A:D,4,0)</f>
        <v>6514195.5499999998</v>
      </c>
      <c r="P107" s="100"/>
      <c r="Q107" s="95"/>
    </row>
    <row r="108" spans="1:17">
      <c r="A108" s="30" t="s">
        <v>135</v>
      </c>
      <c r="B108" s="29">
        <v>-5</v>
      </c>
      <c r="C108" s="29" t="s">
        <v>489</v>
      </c>
      <c r="D108" s="125">
        <f>IFERROR(VLOOKUP($A108,'Balancete 2015'!$A:$D,4,0),"0")+O108</f>
        <v>8699801.7300000004</v>
      </c>
      <c r="E108" s="29"/>
      <c r="F108" s="29"/>
      <c r="G108" s="29"/>
      <c r="H108" s="29"/>
      <c r="I108" s="125">
        <f>IFERROR(VLOOKUP($A108,'Balancete 2016'!$A:$D,4,0),"0")</f>
        <v>4838077.95</v>
      </c>
      <c r="J108" s="6"/>
      <c r="K108" s="57"/>
      <c r="M108" s="87" t="str">
        <f>VLOOKUP(A108,'1 sem.15'!A:D,1,0)</f>
        <v>8.1.9.30.11</v>
      </c>
      <c r="N108" s="88" t="str">
        <f>VLOOKUP(A108,'1 sem.15'!A:D,3,0)</f>
        <v>DESPESAS DE CONTRIBUICAO AO COFINS</v>
      </c>
      <c r="O108" s="88">
        <f>VLOOKUP(A108,'1 sem.15'!A:D,4,0)</f>
        <v>6514195.5499999998</v>
      </c>
      <c r="P108" s="7"/>
      <c r="Q108" s="6"/>
    </row>
    <row r="109" spans="1:17">
      <c r="A109" s="30" t="s">
        <v>136</v>
      </c>
      <c r="B109" s="29">
        <v>-3</v>
      </c>
      <c r="C109" s="29" t="s">
        <v>489</v>
      </c>
      <c r="D109" s="125">
        <f>IFERROR(VLOOKUP($A109,'Balancete 2015'!$A:$D,4,0),"0")+O109</f>
        <v>8672672.5299999993</v>
      </c>
      <c r="E109" s="29"/>
      <c r="F109" s="29"/>
      <c r="G109" s="29"/>
      <c r="H109" s="29"/>
      <c r="I109" s="125">
        <f>IFERROR(VLOOKUP($A109,'Balancete 2016'!$A:$D,4,0),"0")</f>
        <v>4838077.95</v>
      </c>
      <c r="J109" s="6"/>
      <c r="K109" s="57"/>
      <c r="M109" s="87" t="str">
        <f>VLOOKUP(A109,'1 sem.15'!A:D,1,0)</f>
        <v>8.1.9.30.11.01</v>
      </c>
      <c r="N109" s="88" t="str">
        <f>VLOOKUP(A109,'1 sem.15'!A:D,3,0)</f>
        <v>DESPESAS DE CONTRIBUICAO AO COFINS</v>
      </c>
      <c r="O109" s="88">
        <f>VLOOKUP(A109,'1 sem.15'!A:D,4,0)</f>
        <v>6487066.3499999996</v>
      </c>
      <c r="P109" s="7"/>
      <c r="Q109" s="6"/>
    </row>
    <row r="110" spans="1:17">
      <c r="A110" s="30" t="s">
        <v>758</v>
      </c>
      <c r="B110" s="29">
        <v>1</v>
      </c>
      <c r="C110" s="29" t="s">
        <v>759</v>
      </c>
      <c r="D110" s="125">
        <f>IFERROR(VLOOKUP($A110,'Balancete 2015'!$A:$D,4,0),"0")+O110</f>
        <v>27129.200000000001</v>
      </c>
      <c r="E110" s="29"/>
      <c r="F110" s="29"/>
      <c r="G110" s="29"/>
      <c r="H110" s="29"/>
      <c r="I110" s="125" t="str">
        <f>IFERROR(VLOOKUP($A110,'Balancete 2016'!$A:$D,4,0),"0")</f>
        <v>0</v>
      </c>
      <c r="J110" s="6"/>
      <c r="K110" s="57"/>
      <c r="M110" s="87" t="str">
        <f>VLOOKUP(A110,'1 sem.15'!A:D,1,0)</f>
        <v>8.1.9.30.11.02</v>
      </c>
      <c r="N110" s="88" t="str">
        <f>VLOOKUP(A110,'1 sem.15'!A:D,3,0)</f>
        <v>DESP COFINS EXERCICIO ANTERIORES/CAIXAPAR</v>
      </c>
      <c r="O110" s="88">
        <f>VLOOKUP(A110,'1 sem.15'!A:D,4,0)</f>
        <v>27129.200000000001</v>
      </c>
      <c r="P110" s="7"/>
      <c r="Q110" s="6"/>
    </row>
    <row r="111" spans="1:17">
      <c r="A111" s="30" t="s">
        <v>490</v>
      </c>
      <c r="B111" s="29">
        <v>-4</v>
      </c>
      <c r="C111" s="29" t="s">
        <v>491</v>
      </c>
      <c r="D111" s="125">
        <f>IFERROR(VLOOKUP($A111,'Balancete 2015'!$A:$D,4,0),"0")+O111</f>
        <v>0</v>
      </c>
      <c r="E111" s="29"/>
      <c r="F111" s="29"/>
      <c r="G111" s="29"/>
      <c r="H111" s="29"/>
      <c r="I111" s="125" t="str">
        <f>IFERROR(VLOOKUP($A111,'Balancete 2016'!$A:$D,4,0),"0")</f>
        <v>0</v>
      </c>
      <c r="J111" s="6"/>
      <c r="K111" s="57"/>
      <c r="M111" s="87" t="str">
        <f>+A111</f>
        <v>8.1.9.30.20</v>
      </c>
      <c r="N111" s="88" t="str">
        <f>+C111</f>
        <v>COFINS DIFERIDO</v>
      </c>
      <c r="O111" s="88">
        <v>0</v>
      </c>
      <c r="P111" s="7"/>
      <c r="Q111" s="6"/>
    </row>
    <row r="112" spans="1:17">
      <c r="A112" s="30" t="s">
        <v>492</v>
      </c>
      <c r="B112" s="29">
        <v>-3</v>
      </c>
      <c r="C112" s="29" t="s">
        <v>493</v>
      </c>
      <c r="D112" s="125">
        <f>IFERROR(VLOOKUP($A112,'Balancete 2015'!$A:$D,4,0),"0")+O112</f>
        <v>0</v>
      </c>
      <c r="E112" s="29"/>
      <c r="F112" s="29"/>
      <c r="G112" s="29"/>
      <c r="H112" s="29"/>
      <c r="I112" s="125" t="str">
        <f>IFERROR(VLOOKUP($A112,'Balancete 2016'!$A:$D,4,0),"0")</f>
        <v>0</v>
      </c>
      <c r="J112" s="6"/>
      <c r="K112" s="57"/>
      <c r="M112" s="87" t="str">
        <f>+A112</f>
        <v>8.1.9.30.20.06</v>
      </c>
      <c r="N112" s="88" t="str">
        <f>+C112</f>
        <v>ATIVO/PASSIVO FISCAL DIFERIDO COFINS/CAIXAPAR</v>
      </c>
      <c r="O112" s="88">
        <v>0</v>
      </c>
      <c r="P112" s="7"/>
      <c r="Q112" s="6"/>
    </row>
    <row r="113" spans="1:17" s="93" customFormat="1">
      <c r="A113" s="84" t="s">
        <v>137</v>
      </c>
      <c r="B113" s="78">
        <v>-7</v>
      </c>
      <c r="C113" s="78" t="s">
        <v>138</v>
      </c>
      <c r="D113" s="125">
        <f>IFERROR(VLOOKUP($A113,'Balancete 2015'!$A:$D,4,0),"0")+O113</f>
        <v>1780936.02</v>
      </c>
      <c r="E113" s="78">
        <v>600</v>
      </c>
      <c r="F113" s="78">
        <v>300</v>
      </c>
      <c r="G113" s="78"/>
      <c r="H113" s="78"/>
      <c r="I113" s="125">
        <f>IFERROR(VLOOKUP($A113,'Balancete 2016'!$A:$D,4,0),"0")</f>
        <v>805739.05</v>
      </c>
      <c r="J113" s="95"/>
      <c r="K113" s="57"/>
      <c r="M113" s="87" t="str">
        <f>VLOOKUP(A113,'1 sem.15'!A:D,1,0)</f>
        <v>8.1.9.33</v>
      </c>
      <c r="N113" s="161" t="str">
        <f>VLOOKUP(A113,'1 sem.15'!A:D,3,0)</f>
        <v>DESPESAS DE CONTRIBUICAO AO PIS/PASEP</v>
      </c>
      <c r="O113" s="161">
        <f>VLOOKUP(A113,'1 sem.15'!A:D,4,0)</f>
        <v>1414266.15</v>
      </c>
      <c r="P113" s="100"/>
      <c r="Q113" s="95"/>
    </row>
    <row r="114" spans="1:17">
      <c r="A114" s="30" t="s">
        <v>139</v>
      </c>
      <c r="B114" s="29">
        <v>-9</v>
      </c>
      <c r="C114" s="29" t="s">
        <v>494</v>
      </c>
      <c r="D114" s="125">
        <f>IFERROR(VLOOKUP($A114,'Balancete 2015'!$A:$D,4,0),"0")+O114</f>
        <v>1780936.02</v>
      </c>
      <c r="E114" s="29"/>
      <c r="F114" s="29"/>
      <c r="G114" s="29"/>
      <c r="H114" s="29"/>
      <c r="I114" s="125">
        <f>IFERROR(VLOOKUP($A114,'Balancete 2016'!$A:$D,4,0),"0")</f>
        <v>805739.05</v>
      </c>
      <c r="J114" s="6"/>
      <c r="K114" s="57"/>
      <c r="M114" s="87" t="str">
        <f>VLOOKUP(A114,'1 sem.15'!A:D,1,0)</f>
        <v>8.1.9.33.11</v>
      </c>
      <c r="N114" s="88" t="str">
        <f>VLOOKUP(A114,'1 sem.15'!A:D,3,0)</f>
        <v>DESPESAS DE CONTRIBUICAO AO PIS/PASEP</v>
      </c>
      <c r="O114" s="88">
        <f>VLOOKUP(A114,'1 sem.15'!A:D,4,0)</f>
        <v>1414266.15</v>
      </c>
      <c r="P114" s="7"/>
      <c r="Q114" s="6"/>
    </row>
    <row r="115" spans="1:17">
      <c r="A115" s="84" t="s">
        <v>140</v>
      </c>
      <c r="B115" s="78">
        <v>-7</v>
      </c>
      <c r="C115" s="78" t="s">
        <v>495</v>
      </c>
      <c r="D115" s="125">
        <f>IFERROR(VLOOKUP($A115,'Balancete 2015'!$A:$D,4,0),"0")+O115</f>
        <v>1775046.13</v>
      </c>
      <c r="E115" s="78"/>
      <c r="F115" s="78"/>
      <c r="G115" s="78"/>
      <c r="H115" s="78"/>
      <c r="I115" s="125">
        <f>IFERROR(VLOOKUP($A115,'Balancete 2016'!$A:$D,4,0),"0")</f>
        <v>805739.05</v>
      </c>
      <c r="J115" s="6"/>
      <c r="K115" s="57"/>
      <c r="M115" s="87" t="str">
        <f>VLOOKUP(A115,'1 sem.15'!A:D,1,0)</f>
        <v>8.1.9.33.11.01</v>
      </c>
      <c r="N115" s="88" t="str">
        <f>VLOOKUP(A115,'1 sem.15'!A:D,3,0)</f>
        <v>DESPESAS DE CONTRIBUICAO AO PASEP</v>
      </c>
      <c r="O115" s="88">
        <f>VLOOKUP(A115,'1 sem.15'!A:D,4,0)</f>
        <v>1408376.26</v>
      </c>
      <c r="P115" s="7"/>
      <c r="Q115" s="6"/>
    </row>
    <row r="116" spans="1:17">
      <c r="A116" s="77" t="s">
        <v>760</v>
      </c>
      <c r="B116" s="78">
        <v>5</v>
      </c>
      <c r="C116" s="78" t="s">
        <v>761</v>
      </c>
      <c r="D116" s="125">
        <f>IFERROR(VLOOKUP($A116,'Balancete 2015'!$A:$D,4,0),"0")+O116</f>
        <v>5889.89</v>
      </c>
      <c r="E116" s="78"/>
      <c r="F116" s="78"/>
      <c r="G116" s="78"/>
      <c r="H116" s="78"/>
      <c r="I116" s="125" t="str">
        <f>IFERROR(VLOOKUP($A116,'Balancete 2016'!$A:$D,4,0),"0")</f>
        <v>0</v>
      </c>
      <c r="J116" s="6"/>
      <c r="K116" s="57"/>
      <c r="M116" s="87" t="str">
        <f>VLOOKUP(A116,'1 sem.15'!A:D,1,0)</f>
        <v>8.1.9.33.11.02</v>
      </c>
      <c r="N116" s="88" t="str">
        <f>VLOOKUP(A116,'1 sem.15'!A:D,3,0)</f>
        <v>DESP PASEP EXERCICIO ANTERIORES/CAIXAPAR</v>
      </c>
      <c r="O116" s="88">
        <f>VLOOKUP(A116,'1 sem.15'!A:D,4,0)</f>
        <v>5889.89</v>
      </c>
      <c r="P116" s="7"/>
      <c r="Q116" s="6"/>
    </row>
    <row r="117" spans="1:17">
      <c r="A117" s="84" t="s">
        <v>496</v>
      </c>
      <c r="B117" s="78">
        <v>-8</v>
      </c>
      <c r="C117" s="78" t="s">
        <v>497</v>
      </c>
      <c r="D117" s="125">
        <f>IFERROR(VLOOKUP($A117,'Balancete 2015'!$A:$D,4,0),"0")+O117</f>
        <v>0</v>
      </c>
      <c r="E117" s="78"/>
      <c r="F117" s="78"/>
      <c r="G117" s="78"/>
      <c r="H117" s="78"/>
      <c r="I117" s="125" t="str">
        <f>IFERROR(VLOOKUP($A117,'Balancete 2016'!$A:$D,4,0),"0")</f>
        <v>0</v>
      </c>
      <c r="J117" s="6"/>
      <c r="K117" s="57"/>
      <c r="M117" s="87" t="str">
        <f>+A117</f>
        <v>8.1.9.33.20</v>
      </c>
      <c r="N117" s="88" t="str">
        <f>+C117</f>
        <v>PASEP DIFERIDO</v>
      </c>
      <c r="O117" s="88">
        <v>0</v>
      </c>
      <c r="P117" s="7"/>
      <c r="Q117" s="6"/>
    </row>
    <row r="118" spans="1:17">
      <c r="A118" s="84" t="s">
        <v>498</v>
      </c>
      <c r="B118" s="78">
        <v>-7</v>
      </c>
      <c r="C118" s="78" t="s">
        <v>499</v>
      </c>
      <c r="D118" s="125">
        <f>IFERROR(VLOOKUP($A118,'Balancete 2015'!$A:$D,4,0),"0")+O118</f>
        <v>0</v>
      </c>
      <c r="E118" s="78"/>
      <c r="F118" s="78"/>
      <c r="G118" s="78"/>
      <c r="H118" s="78"/>
      <c r="I118" s="125" t="str">
        <f>IFERROR(VLOOKUP($A118,'Balancete 2016'!$A:$D,4,0),"0")</f>
        <v>0</v>
      </c>
      <c r="J118" s="6"/>
      <c r="K118" s="57"/>
      <c r="M118" s="87" t="str">
        <f>+A118</f>
        <v>8.1.9.33.20.06</v>
      </c>
      <c r="N118" s="88" t="str">
        <f>+C118</f>
        <v>ATIVO/PASSIVO FISCAL DIFERIDO PASEP/CAIXAPAR</v>
      </c>
      <c r="O118" s="88">
        <v>0</v>
      </c>
      <c r="P118" s="7"/>
      <c r="Q118" s="6"/>
    </row>
    <row r="119" spans="1:17">
      <c r="A119" s="84" t="s">
        <v>141</v>
      </c>
      <c r="B119" s="78">
        <v>-6</v>
      </c>
      <c r="C119" s="78" t="s">
        <v>132</v>
      </c>
      <c r="D119" s="125">
        <f>IFERROR(VLOOKUP($A119,'Balancete 2015'!$A:$D,4,0),"0")+O119</f>
        <v>12591760.57</v>
      </c>
      <c r="E119" s="78"/>
      <c r="F119" s="78"/>
      <c r="G119" s="78"/>
      <c r="H119" s="78"/>
      <c r="I119" s="125">
        <f>IFERROR(VLOOKUP($A119,'Balancete 2016'!$A:$D,4,0),"0")</f>
        <v>3082213.58</v>
      </c>
      <c r="J119" s="6"/>
      <c r="K119" s="57"/>
      <c r="M119" s="87" t="str">
        <f>VLOOKUP(A119,'1 sem.15'!A:D,1,0)</f>
        <v>8.1.9.99</v>
      </c>
      <c r="N119" s="88" t="str">
        <f>VLOOKUP(A119,'1 sem.15'!A:D,3,0)</f>
        <v>OUTRAS DESPESAS OPERACIONAIS</v>
      </c>
      <c r="O119" s="88">
        <f>VLOOKUP(A119,'1 sem.15'!A:D,4,0)</f>
        <v>12155224.550000001</v>
      </c>
      <c r="P119" s="7"/>
      <c r="Q119" s="6"/>
    </row>
    <row r="120" spans="1:17">
      <c r="A120" s="84" t="s">
        <v>142</v>
      </c>
      <c r="B120" s="78">
        <v>-3</v>
      </c>
      <c r="C120" s="78" t="s">
        <v>143</v>
      </c>
      <c r="D120" s="125">
        <f>IFERROR(VLOOKUP($A120,'Balancete 2015'!$A:$D,4,0),"0")+O120</f>
        <v>12591760.57</v>
      </c>
      <c r="E120" s="78"/>
      <c r="F120" s="78"/>
      <c r="G120" s="78"/>
      <c r="H120" s="78"/>
      <c r="I120" s="125">
        <f>IFERROR(VLOOKUP($A120,'Balancete 2016'!$A:$D,4,0),"0")</f>
        <v>3082213.58</v>
      </c>
      <c r="J120" s="6"/>
      <c r="K120" s="57"/>
      <c r="M120" s="87" t="str">
        <f>VLOOKUP(A120,'1 sem.15'!A:D,1,0)</f>
        <v>8.1.9.99.50</v>
      </c>
      <c r="N120" s="88" t="str">
        <f>VLOOKUP(A120,'1 sem.15'!A:D,3,0)</f>
        <v>OUTRAS DESPESAS OPERACIONAIS</v>
      </c>
      <c r="O120" s="88">
        <f>VLOOKUP(A120,'1 sem.15'!A:D,4,0)</f>
        <v>12155224.550000001</v>
      </c>
      <c r="P120" s="7"/>
      <c r="Q120" s="6"/>
    </row>
    <row r="121" spans="1:17" s="93" customFormat="1">
      <c r="A121" s="84" t="s">
        <v>144</v>
      </c>
      <c r="B121" s="78">
        <v>-1</v>
      </c>
      <c r="C121" s="78" t="s">
        <v>500</v>
      </c>
      <c r="D121" s="125">
        <f>IFERROR(VLOOKUP($A121,'Balancete 2015'!$A:$D,4,0),"0")+O121</f>
        <v>538.94000000000005</v>
      </c>
      <c r="E121" s="78">
        <v>600</v>
      </c>
      <c r="F121" s="78">
        <v>100</v>
      </c>
      <c r="G121" s="78"/>
      <c r="H121" s="78">
        <v>100</v>
      </c>
      <c r="I121" s="125">
        <f>IFERROR(VLOOKUP($A121,'Balancete 2016'!$A:$D,4,0),"0")</f>
        <v>917.26</v>
      </c>
      <c r="J121" s="95"/>
      <c r="K121" s="57"/>
      <c r="M121" s="87" t="str">
        <f>+A121</f>
        <v>8.1.9.99.50.01</v>
      </c>
      <c r="N121" s="161" t="str">
        <f>+C121</f>
        <v>DESP OPER - TARIFAS BANCARIAS/CAIXAPAR</v>
      </c>
      <c r="O121" s="161">
        <v>0</v>
      </c>
      <c r="P121" s="100"/>
      <c r="Q121" s="95"/>
    </row>
    <row r="122" spans="1:17" s="93" customFormat="1">
      <c r="A122" s="84" t="s">
        <v>501</v>
      </c>
      <c r="B122" s="78">
        <v>0</v>
      </c>
      <c r="C122" s="78" t="s">
        <v>502</v>
      </c>
      <c r="D122" s="125">
        <f>IFERROR(VLOOKUP($A122,'Balancete 2015'!$A:$D,4,0),"0")+O122</f>
        <v>15196.39</v>
      </c>
      <c r="E122" s="78">
        <v>600</v>
      </c>
      <c r="F122" s="78">
        <v>100</v>
      </c>
      <c r="G122" s="78"/>
      <c r="H122" s="78">
        <v>100</v>
      </c>
      <c r="I122" s="125">
        <f>IFERROR(VLOOKUP($A122,'Balancete 2016'!$A:$D,4,0),"0")</f>
        <v>7853.7</v>
      </c>
      <c r="J122" s="95"/>
      <c r="K122" s="57"/>
      <c r="M122" s="87" t="str">
        <f>VLOOKUP(A122,'1 sem.15'!A:D,1,0)</f>
        <v>8.1.9.99.50.02</v>
      </c>
      <c r="N122" s="161" t="str">
        <f>VLOOKUP(A122,'1 sem.15'!A:D,3,0)</f>
        <v>DESP OPER - ATUAL MONET OBRIG/CAIXAPAR</v>
      </c>
      <c r="O122" s="161">
        <f>VLOOKUP(A122,'1 sem.15'!A:D,4,0)</f>
        <v>15196.39</v>
      </c>
      <c r="P122" s="100"/>
      <c r="Q122" s="95"/>
    </row>
    <row r="123" spans="1:17" s="93" customFormat="1">
      <c r="A123" s="84" t="s">
        <v>338</v>
      </c>
      <c r="B123" s="78">
        <v>-8</v>
      </c>
      <c r="C123" s="78" t="s">
        <v>503</v>
      </c>
      <c r="D123" s="125">
        <f>IFERROR(VLOOKUP($A123,'Balancete 2015'!$A:$D,4,0),"0")+O123</f>
        <v>11692228.73</v>
      </c>
      <c r="E123" s="78">
        <v>800</v>
      </c>
      <c r="F123" s="78"/>
      <c r="G123" s="78"/>
      <c r="H123" s="78"/>
      <c r="I123" s="125">
        <f>IFERROR(VLOOKUP($A123,'Balancete 2016'!$A:$D,4,0),"0")</f>
        <v>1984034.76</v>
      </c>
      <c r="J123" s="95"/>
      <c r="K123" s="57"/>
      <c r="M123" s="87" t="str">
        <f>VLOOKUP(A123,'1 sem.15'!A:D,1,0)</f>
        <v>8.1.9.99.50.03</v>
      </c>
      <c r="N123" s="161" t="str">
        <f>VLOOKUP(A123,'1 sem.15'!A:D,3,0)</f>
        <v>DESP OPER - ATUAL MONET DIVIDENDOS/CAIXAPAR</v>
      </c>
      <c r="O123" s="161">
        <f>VLOOKUP(A123,'1 sem.15'!A:D,4,0)</f>
        <v>11692228.73</v>
      </c>
      <c r="P123" s="100"/>
      <c r="Q123" s="95"/>
    </row>
    <row r="124" spans="1:17" s="93" customFormat="1">
      <c r="A124" s="84" t="s">
        <v>145</v>
      </c>
      <c r="B124" s="78">
        <v>-6</v>
      </c>
      <c r="C124" s="78" t="s">
        <v>504</v>
      </c>
      <c r="D124" s="125">
        <f>IFERROR(VLOOKUP($A124,'Balancete 2015'!$A:$D,4,0),"0")+O124</f>
        <v>12677.59</v>
      </c>
      <c r="E124" s="78">
        <v>600</v>
      </c>
      <c r="F124" s="78">
        <v>100</v>
      </c>
      <c r="G124" s="78"/>
      <c r="H124" s="78">
        <v>100</v>
      </c>
      <c r="I124" s="125">
        <f>IFERROR(VLOOKUP($A124,'Balancete 2016'!$A:$D,4,0),"0")</f>
        <v>12897.18</v>
      </c>
      <c r="J124" s="95"/>
      <c r="K124" s="57"/>
      <c r="M124" s="87" t="str">
        <f>VLOOKUP(A124,'1 sem.15'!A:D,1,0)</f>
        <v>8.1.9.99.50.04</v>
      </c>
      <c r="N124" s="161" t="str">
        <f>VLOOKUP(A124,'1 sem.15'!A:D,3,0)</f>
        <v>DESP OPER - MULTAS S/ RECOLH ATRASO/CAIXAPAR</v>
      </c>
      <c r="O124" s="161">
        <f>VLOOKUP(A124,'1 sem.15'!A:D,4,0)</f>
        <v>12677.59</v>
      </c>
      <c r="P124" s="100"/>
      <c r="Q124" s="95"/>
    </row>
    <row r="125" spans="1:17" s="93" customFormat="1">
      <c r="A125" s="84" t="s">
        <v>146</v>
      </c>
      <c r="B125" s="78">
        <v>-4</v>
      </c>
      <c r="C125" s="78" t="s">
        <v>505</v>
      </c>
      <c r="D125" s="125">
        <f>IFERROR(VLOOKUP($A125,'Balancete 2015'!$A:$D,4,0),"0")+O125</f>
        <v>871118.92</v>
      </c>
      <c r="E125" s="78">
        <v>600</v>
      </c>
      <c r="F125" s="78">
        <v>100</v>
      </c>
      <c r="G125" s="78"/>
      <c r="H125" s="78"/>
      <c r="I125" s="125">
        <f>IFERROR(VLOOKUP($A125,'Balancete 2016'!$A:$D,4,0),"0")</f>
        <v>1076510.68</v>
      </c>
      <c r="J125" s="95"/>
      <c r="K125" s="57"/>
      <c r="M125" s="87" t="str">
        <f>VLOOKUP(A125,'1 sem.15'!A:D,1,0)</f>
        <v>8.1.9.99.50.05</v>
      </c>
      <c r="N125" s="161" t="str">
        <f>VLOOKUP(A125,'1 sem.15'!A:D,3,0)</f>
        <v>DESP OPER - COMPARTILH SERV CAIXA/CAIXAPAR</v>
      </c>
      <c r="O125" s="161">
        <f>VLOOKUP(A125,'1 sem.15'!A:D,4,0)</f>
        <v>435121.84</v>
      </c>
      <c r="P125" s="100"/>
      <c r="Q125" s="95"/>
    </row>
    <row r="126" spans="1:17">
      <c r="A126" s="84" t="s">
        <v>147</v>
      </c>
      <c r="B126" s="78">
        <v>-7</v>
      </c>
      <c r="C126" s="78" t="s">
        <v>148</v>
      </c>
      <c r="D126" s="125">
        <f>IFERROR(VLOOKUP($A126,'Balancete 2015'!$A:$D,4,0),"0")+O126</f>
        <v>51602662.82</v>
      </c>
      <c r="E126" s="78"/>
      <c r="F126" s="78"/>
      <c r="G126" s="78"/>
      <c r="H126" s="78"/>
      <c r="I126" s="125">
        <f>IFERROR(VLOOKUP($A126,'Balancete 2016'!$A:$D,4,0),"0")</f>
        <v>32041959.66</v>
      </c>
      <c r="J126" s="6"/>
      <c r="K126" s="57"/>
      <c r="M126" s="87" t="str">
        <f>VLOOKUP(A126,'1 sem.15'!A:D,1,0)</f>
        <v>8.9</v>
      </c>
      <c r="N126" s="88" t="str">
        <f>VLOOKUP(A126,'1 sem.15'!A:D,3,0)</f>
        <v>APURACAO DE RESULTADO</v>
      </c>
      <c r="O126" s="88">
        <f>VLOOKUP(A126,'1 sem.15'!A:D,4,0)</f>
        <v>37070810.490000002</v>
      </c>
      <c r="P126" s="7"/>
      <c r="Q126" s="6"/>
    </row>
    <row r="127" spans="1:17">
      <c r="A127" s="84" t="s">
        <v>149</v>
      </c>
      <c r="B127" s="78">
        <v>0</v>
      </c>
      <c r="C127" s="78" t="s">
        <v>150</v>
      </c>
      <c r="D127" s="125">
        <f>IFERROR(VLOOKUP($A127,'Balancete 2015'!$A:$D,4,0),"0")+O127</f>
        <v>51602662.82</v>
      </c>
      <c r="E127" s="78"/>
      <c r="F127" s="78"/>
      <c r="G127" s="78"/>
      <c r="H127" s="78"/>
      <c r="I127" s="125">
        <f>IFERROR(VLOOKUP($A127,'Balancete 2016'!$A:$D,4,0),"0")</f>
        <v>31667586.23</v>
      </c>
      <c r="J127" s="6"/>
      <c r="K127" s="57"/>
      <c r="M127" s="87" t="str">
        <f>VLOOKUP(A127,'1 sem.15'!A:D,1,0)</f>
        <v>8.9.4</v>
      </c>
      <c r="N127" s="88" t="str">
        <f>VLOOKUP(A127,'1 sem.15'!A:D,3,0)</f>
        <v>IMPOSTO DE RENDA</v>
      </c>
      <c r="O127" s="88">
        <f>VLOOKUP(A127,'1 sem.15'!A:D,4,0)</f>
        <v>37070810.490000002</v>
      </c>
      <c r="P127" s="7"/>
      <c r="Q127" s="6"/>
    </row>
    <row r="128" spans="1:17">
      <c r="A128" s="84" t="s">
        <v>151</v>
      </c>
      <c r="B128" s="78">
        <v>-3</v>
      </c>
      <c r="C128" s="78" t="s">
        <v>150</v>
      </c>
      <c r="D128" s="125">
        <f>IFERROR(VLOOKUP($A128,'Balancete 2015'!$A:$D,4,0),"0")+O128</f>
        <v>37916182.969999999</v>
      </c>
      <c r="E128" s="78"/>
      <c r="F128" s="78"/>
      <c r="G128" s="78"/>
      <c r="H128" s="78"/>
      <c r="I128" s="125">
        <f>IFERROR(VLOOKUP($A128,'Balancete 2016'!$A:$D,4,0),"0")</f>
        <v>23278636.93</v>
      </c>
      <c r="J128" s="6"/>
      <c r="K128" s="57"/>
      <c r="M128" s="87" t="str">
        <f>VLOOKUP(A128,'1 sem.15'!A:D,1,0)</f>
        <v>8.9.4.10</v>
      </c>
      <c r="N128" s="88" t="str">
        <f>VLOOKUP(A128,'1 sem.15'!A:D,3,0)</f>
        <v>IMPOSTO DE RENDA</v>
      </c>
      <c r="O128" s="88">
        <f>VLOOKUP(A128,'1 sem.15'!A:D,4,0)</f>
        <v>27234173.899999999</v>
      </c>
      <c r="P128" s="7"/>
    </row>
    <row r="129" spans="1:16">
      <c r="A129" s="84" t="s">
        <v>341</v>
      </c>
      <c r="B129" s="78">
        <v>-5</v>
      </c>
      <c r="C129" s="78" t="s">
        <v>506</v>
      </c>
      <c r="D129" s="125">
        <f>IFERROR(VLOOKUP($A129,'Balancete 2015'!$A:$D,4,0),"0")+O129</f>
        <v>37928889.049999997</v>
      </c>
      <c r="E129" s="78"/>
      <c r="F129" s="78"/>
      <c r="G129" s="78"/>
      <c r="H129" s="78"/>
      <c r="I129" s="125">
        <f>IFERROR(VLOOKUP($A129,'Balancete 2016'!$A:$D,4,0),"0")</f>
        <v>23280172.079999998</v>
      </c>
      <c r="J129" s="6"/>
      <c r="K129" s="57"/>
      <c r="M129" s="87" t="str">
        <f>VLOOKUP(A129,'1 sem.15'!A:D,1,0)</f>
        <v>8.9.4.10.11</v>
      </c>
      <c r="N129" s="88" t="str">
        <f>VLOOKUP(A129,'1 sem.15'!A:D,3,0)</f>
        <v>IMPOSTO DE RENDA</v>
      </c>
      <c r="O129" s="88">
        <f>VLOOKUP(A129,'1 sem.15'!A:D,4,0)</f>
        <v>27245273.91</v>
      </c>
      <c r="P129" s="7"/>
    </row>
    <row r="130" spans="1:16" s="93" customFormat="1">
      <c r="A130" s="84" t="s">
        <v>152</v>
      </c>
      <c r="B130" s="78">
        <v>-3</v>
      </c>
      <c r="C130" s="78" t="s">
        <v>506</v>
      </c>
      <c r="D130" s="125">
        <f>IFERROR(VLOOKUP($A130,'Balancete 2015'!$A:$D,4,0),"0")+O130</f>
        <v>37928889.049999997</v>
      </c>
      <c r="E130" s="78">
        <v>900</v>
      </c>
      <c r="F130" s="78"/>
      <c r="G130" s="78"/>
      <c r="H130" s="78"/>
      <c r="I130" s="125">
        <f>IFERROR(VLOOKUP($A130,'Balancete 2016'!$A:$D,4,0),"0")</f>
        <v>23280172.079999998</v>
      </c>
      <c r="J130" s="95"/>
      <c r="K130" s="57"/>
      <c r="M130" s="87" t="str">
        <f>VLOOKUP(A130,'1 sem.15'!A:D,1,0)</f>
        <v>8.9.4.10.11.01</v>
      </c>
      <c r="N130" s="161" t="str">
        <f>VLOOKUP(A130,'1 sem.15'!A:D,3,0)</f>
        <v>IMPOSTO DE RENDA</v>
      </c>
      <c r="O130" s="161">
        <f>VLOOKUP(A130,'1 sem.15'!A:D,4,0)</f>
        <v>27245273.91</v>
      </c>
      <c r="P130" s="100"/>
    </row>
    <row r="131" spans="1:16">
      <c r="A131" s="77" t="s">
        <v>762</v>
      </c>
      <c r="B131" s="78"/>
      <c r="C131" s="78" t="s">
        <v>763</v>
      </c>
      <c r="D131" s="125">
        <f>IFERROR(VLOOKUP($A131,'Balancete 2015'!$A:$D,4,0),"0")+O131</f>
        <v>0</v>
      </c>
      <c r="E131" s="78"/>
      <c r="F131" s="78"/>
      <c r="G131" s="78"/>
      <c r="H131" s="78"/>
      <c r="I131" s="125" t="str">
        <f>IFERROR(VLOOKUP($A131,'Balancete 2016'!$A:$D,4,0),"0")</f>
        <v>0</v>
      </c>
      <c r="J131" s="6"/>
      <c r="K131" s="57"/>
      <c r="M131" s="87" t="str">
        <f>+A131</f>
        <v>8.9.4.10.11.02</v>
      </c>
      <c r="N131" s="88" t="str">
        <f>+C131</f>
        <v>IMPOSTO DE RENDA do EXERCICIO CISÃO /CAIXAPAR</v>
      </c>
      <c r="O131" s="88">
        <v>0</v>
      </c>
      <c r="P131" s="7"/>
    </row>
    <row r="132" spans="1:16">
      <c r="A132" s="84" t="s">
        <v>507</v>
      </c>
      <c r="B132" s="78">
        <v>-4</v>
      </c>
      <c r="C132" s="78" t="s">
        <v>602</v>
      </c>
      <c r="D132" s="125">
        <f>IFERROR(VLOOKUP($A132,'Balancete 2015'!$A:$D,4,0),"0")+O132</f>
        <v>0</v>
      </c>
      <c r="E132" s="78"/>
      <c r="F132" s="78"/>
      <c r="G132" s="78"/>
      <c r="H132" s="78"/>
      <c r="I132" s="125" t="str">
        <f>IFERROR(VLOOKUP($A132,'Balancete 2016'!$A:$D,4,0),"0")</f>
        <v>0</v>
      </c>
      <c r="J132" s="6"/>
      <c r="K132" s="57"/>
      <c r="M132" s="87" t="str">
        <f>+A132</f>
        <v>8.9.4.10.20</v>
      </c>
      <c r="N132" s="88" t="str">
        <f>+C132</f>
        <v>PROVISAO IR - VALORES DIFERIDOS</v>
      </c>
      <c r="O132" s="88">
        <v>0</v>
      </c>
      <c r="P132" s="7"/>
    </row>
    <row r="133" spans="1:16" s="93" customFormat="1">
      <c r="A133" s="84" t="s">
        <v>508</v>
      </c>
      <c r="B133" s="78">
        <v>-5</v>
      </c>
      <c r="C133" s="78" t="s">
        <v>509</v>
      </c>
      <c r="D133" s="125">
        <f>IFERROR(VLOOKUP($A133,'Balancete 2015'!$A:$D,4,0),"0")+O133</f>
        <v>0</v>
      </c>
      <c r="E133" s="78">
        <v>910</v>
      </c>
      <c r="F133" s="78"/>
      <c r="G133" s="78"/>
      <c r="H133" s="78"/>
      <c r="I133" s="125" t="str">
        <f>IFERROR(VLOOKUP($A133,'Balancete 2016'!$A:$D,4,0),"0")</f>
        <v>0</v>
      </c>
      <c r="J133" s="95"/>
      <c r="K133" s="57"/>
      <c r="M133" s="87" t="str">
        <f>+A133</f>
        <v>8.9.4.10.20.05</v>
      </c>
      <c r="N133" s="161" t="str">
        <f>+C133</f>
        <v>PASSIVO FISCAL DIFERIDO DE IRPJ/CAIXAPAR</v>
      </c>
      <c r="O133" s="161">
        <v>0</v>
      </c>
      <c r="P133" s="100"/>
    </row>
    <row r="134" spans="1:16">
      <c r="A134" s="84" t="s">
        <v>153</v>
      </c>
      <c r="B134" s="78">
        <v>-6</v>
      </c>
      <c r="C134" s="78" t="s">
        <v>510</v>
      </c>
      <c r="D134" s="125">
        <f>IFERROR(VLOOKUP($A134,'Balancete 2015'!$A:$D,4,0),"0")+O134</f>
        <v>-12706.08</v>
      </c>
      <c r="E134" s="78"/>
      <c r="F134" s="78"/>
      <c r="G134" s="78"/>
      <c r="H134" s="78"/>
      <c r="I134" s="125">
        <f>IFERROR(VLOOKUP($A134,'Balancete 2016'!$A:$D,4,0),"0")</f>
        <v>-1535.15</v>
      </c>
      <c r="J134" s="6"/>
      <c r="K134" s="57"/>
      <c r="M134" s="87" t="str">
        <f>VLOOKUP(A134,'1 sem.15'!A:D,1,0)</f>
        <v>8.9.4.10.31</v>
      </c>
      <c r="N134" s="88" t="str">
        <f>VLOOKUP(A134,'1 sem.15'!A:D,3,0)</f>
        <v>ATIVO FISCAL DIFERIDO/CAIXAPAR</v>
      </c>
      <c r="O134" s="88">
        <f>VLOOKUP(A134,'1 sem.15'!A:D,4,0)</f>
        <v>-11100.01</v>
      </c>
      <c r="P134" s="7"/>
    </row>
    <row r="135" spans="1:16" s="93" customFormat="1">
      <c r="A135" s="84" t="s">
        <v>343</v>
      </c>
      <c r="B135" s="78">
        <v>-4</v>
      </c>
      <c r="C135" s="78" t="s">
        <v>511</v>
      </c>
      <c r="D135" s="125">
        <f>IFERROR(VLOOKUP($A135,'Balancete 2015'!$A:$D,4,0),"0")+O135</f>
        <v>-12706.08</v>
      </c>
      <c r="E135" s="78">
        <v>910</v>
      </c>
      <c r="F135" s="78"/>
      <c r="G135" s="78"/>
      <c r="H135" s="78"/>
      <c r="I135" s="125">
        <f>IFERROR(VLOOKUP($A135,'Balancete 2016'!$A:$D,4,0),"0")</f>
        <v>-1535.15</v>
      </c>
      <c r="J135" s="95"/>
      <c r="K135" s="57"/>
      <c r="M135" s="87" t="str">
        <f>VLOOKUP(A135,'1 sem.15'!A:D,1,0)</f>
        <v>8.9.4.10.31.01</v>
      </c>
      <c r="N135" s="161" t="str">
        <f>VLOOKUP(A135,'1 sem.15'!A:D,3,0)</f>
        <v>DIFERENCAS TEMPORARIAS - IRPJ/CAIXAPAR</v>
      </c>
      <c r="O135" s="161">
        <f>VLOOKUP(A135,'1 sem.15'!A:D,4,0)</f>
        <v>-11100.01</v>
      </c>
      <c r="P135" s="100"/>
    </row>
    <row r="136" spans="1:16">
      <c r="A136" s="84" t="s">
        <v>154</v>
      </c>
      <c r="B136" s="78">
        <v>-7</v>
      </c>
      <c r="C136" s="78" t="s">
        <v>155</v>
      </c>
      <c r="D136" s="125">
        <f>IFERROR(VLOOKUP($A136,'Balancete 2015'!$A:$D,4,0),"0")+O136</f>
        <v>13686479.85</v>
      </c>
      <c r="E136" s="78"/>
      <c r="F136" s="78"/>
      <c r="G136" s="78"/>
      <c r="H136" s="78"/>
      <c r="I136" s="125">
        <f>IFERROR(VLOOKUP($A136,'Balancete 2016'!$A:$D,4,0),"0")</f>
        <v>8388949.3000000007</v>
      </c>
      <c r="J136" s="6"/>
      <c r="K136" s="57"/>
      <c r="M136" s="87" t="str">
        <f>VLOOKUP(A136,'1 sem.15'!A:D,1,0)</f>
        <v>8.9.4.20</v>
      </c>
      <c r="N136" s="88" t="str">
        <f>VLOOKUP(A136,'1 sem.15'!A:D,3,0)</f>
        <v>CONTRIBUICAO SOCIAL</v>
      </c>
      <c r="O136" s="88">
        <f>VLOOKUP(A136,'1 sem.15'!A:D,4,0)</f>
        <v>9836636.5899999999</v>
      </c>
      <c r="P136" s="7"/>
    </row>
    <row r="137" spans="1:16">
      <c r="A137" s="84" t="s">
        <v>342</v>
      </c>
      <c r="B137" s="78">
        <v>-9</v>
      </c>
      <c r="C137" s="78" t="s">
        <v>512</v>
      </c>
      <c r="D137" s="125">
        <f>IFERROR(VLOOKUP($A137,'Balancete 2015'!$A:$D,4,0),"0")+O137</f>
        <v>13691054.039999999</v>
      </c>
      <c r="E137" s="78"/>
      <c r="F137" s="78"/>
      <c r="G137" s="78"/>
      <c r="H137" s="78"/>
      <c r="I137" s="125">
        <f>IFERROR(VLOOKUP($A137,'Balancete 2016'!$A:$D,4,0),"0")</f>
        <v>8389501.9499999993</v>
      </c>
      <c r="J137" s="6"/>
      <c r="K137" s="57"/>
      <c r="M137" s="87" t="str">
        <f>VLOOKUP(A137,'1 sem.15'!A:D,1,0)</f>
        <v>8.9.4.20.11</v>
      </c>
      <c r="N137" s="88" t="str">
        <f>VLOOKUP(A137,'1 sem.15'!A:D,3,0)</f>
        <v>CONTRIBUICAO SOCIAL</v>
      </c>
      <c r="O137" s="88">
        <f>VLOOKUP(A137,'1 sem.15'!A:D,4,0)</f>
        <v>9840632.5899999999</v>
      </c>
      <c r="P137" s="7"/>
    </row>
    <row r="138" spans="1:16" s="93" customFormat="1">
      <c r="A138" s="84" t="s">
        <v>156</v>
      </c>
      <c r="B138" s="78">
        <v>-7</v>
      </c>
      <c r="C138" s="78" t="s">
        <v>512</v>
      </c>
      <c r="D138" s="125">
        <f>IFERROR(VLOOKUP($A138,'Balancete 2015'!$A:$D,4,0),"0")+O138</f>
        <v>13661899.07</v>
      </c>
      <c r="E138" s="78">
        <v>900</v>
      </c>
      <c r="F138" s="78"/>
      <c r="G138" s="78"/>
      <c r="H138" s="78"/>
      <c r="I138" s="125">
        <f>IFERROR(VLOOKUP($A138,'Balancete 2016'!$A:$D,4,0),"0")</f>
        <v>8389501.9499999993</v>
      </c>
      <c r="J138" s="95"/>
      <c r="K138" s="57"/>
      <c r="M138" s="87" t="str">
        <f>VLOOKUP(A138,'1 sem.15'!A:D,1,0)</f>
        <v>8.9.4.20.11.01</v>
      </c>
      <c r="N138" s="161" t="str">
        <f>VLOOKUP(A138,'1 sem.15'!A:D,3,0)</f>
        <v>CONTRIBUICAO SOCIAL</v>
      </c>
      <c r="O138" s="161">
        <f>VLOOKUP(A138,'1 sem.15'!A:D,4,0)</f>
        <v>9811477.6199999992</v>
      </c>
      <c r="P138" s="100"/>
    </row>
    <row r="139" spans="1:16" s="93" customFormat="1">
      <c r="A139" s="77" t="s">
        <v>764</v>
      </c>
      <c r="B139" s="78">
        <v>5</v>
      </c>
      <c r="C139" s="78" t="s">
        <v>765</v>
      </c>
      <c r="D139" s="125">
        <f>IFERROR(VLOOKUP($A139,'Balancete 2015'!$A:$D,4,0),"0")+O139</f>
        <v>29154.97</v>
      </c>
      <c r="E139" s="78">
        <v>900</v>
      </c>
      <c r="F139" s="78"/>
      <c r="G139" s="78"/>
      <c r="H139" s="78"/>
      <c r="I139" s="125" t="str">
        <f>IFERROR(VLOOKUP($A139,'Balancete 2016'!$A:$D,4,0),"0")</f>
        <v>0</v>
      </c>
      <c r="J139" s="95"/>
      <c r="K139" s="57"/>
      <c r="M139" s="87" t="str">
        <f>VLOOKUP(A139,'1 sem.15'!A:D,1,0)</f>
        <v>8.9.4.20.11.02</v>
      </c>
      <c r="N139" s="161" t="str">
        <f>VLOOKUP(A139,'1 sem.15'!A:D,3,0)</f>
        <v>CONTRIBUICAO SOCIAL EXERCICIO ANTERIORES</v>
      </c>
      <c r="O139" s="161">
        <f>VLOOKUP(A139,'1 sem.15'!A:D,4,0)</f>
        <v>29154.97</v>
      </c>
      <c r="P139" s="100"/>
    </row>
    <row r="140" spans="1:16">
      <c r="A140" s="77" t="s">
        <v>766</v>
      </c>
      <c r="B140" s="78"/>
      <c r="C140" s="78" t="s">
        <v>767</v>
      </c>
      <c r="D140" s="125">
        <f>IFERROR(VLOOKUP($A140,'Balancete 2015'!$A:$D,4,0),"0")+O140</f>
        <v>0</v>
      </c>
      <c r="E140" s="78"/>
      <c r="F140" s="78"/>
      <c r="G140" s="78"/>
      <c r="H140" s="78"/>
      <c r="I140" s="125" t="str">
        <f>IFERROR(VLOOKUP($A140,'Balancete 2016'!$A:$D,4,0),"0")</f>
        <v>0</v>
      </c>
      <c r="J140" s="6"/>
      <c r="K140" s="57"/>
      <c r="M140" s="87" t="str">
        <f>+A140</f>
        <v>8.9.4.20.11.06</v>
      </c>
      <c r="N140" s="88" t="str">
        <f>+C140</f>
        <v>CONTRIBUIÇAO SOCIAL - CISÃO</v>
      </c>
      <c r="O140" s="88">
        <v>0</v>
      </c>
      <c r="P140" s="7"/>
    </row>
    <row r="141" spans="1:16" s="93" customFormat="1">
      <c r="A141" s="84" t="s">
        <v>513</v>
      </c>
      <c r="B141" s="78">
        <v>-8</v>
      </c>
      <c r="C141" s="78" t="s">
        <v>603</v>
      </c>
      <c r="D141" s="125">
        <f>IFERROR(VLOOKUP($A141,'Balancete 2015'!$A:$D,4,0),"0")+O141</f>
        <v>0</v>
      </c>
      <c r="E141" s="78">
        <v>910</v>
      </c>
      <c r="F141" s="78"/>
      <c r="G141" s="78"/>
      <c r="H141" s="78"/>
      <c r="I141" s="125" t="str">
        <f>IFERROR(VLOOKUP($A141,'Balancete 2016'!$A:$D,4,0),"0")</f>
        <v>0</v>
      </c>
      <c r="J141" s="95"/>
      <c r="K141" s="83"/>
      <c r="M141" s="87" t="str">
        <f>+A141</f>
        <v>8.9.4.20.20</v>
      </c>
      <c r="N141" s="161" t="str">
        <f>+C141</f>
        <v>PROVISAO PARA CSLL - VALORES DIFERIDOS</v>
      </c>
      <c r="O141" s="161">
        <v>0</v>
      </c>
      <c r="P141" s="100"/>
    </row>
    <row r="142" spans="1:16">
      <c r="A142" s="84" t="s">
        <v>514</v>
      </c>
      <c r="B142" s="78">
        <v>-9</v>
      </c>
      <c r="C142" s="78" t="s">
        <v>515</v>
      </c>
      <c r="D142" s="125">
        <f>IFERROR(VLOOKUP($A142,'Balancete 2015'!$A:$D,4,0),"0")+O142</f>
        <v>0</v>
      </c>
      <c r="E142" s="78"/>
      <c r="F142" s="78"/>
      <c r="G142" s="78"/>
      <c r="H142" s="78"/>
      <c r="I142" s="125" t="str">
        <f>IFERROR(VLOOKUP($A142,'Balancete 2016'!$A:$D,4,0),"0")</f>
        <v>0</v>
      </c>
      <c r="J142" s="6"/>
      <c r="K142" s="57"/>
      <c r="M142" s="87" t="str">
        <f>+A142</f>
        <v>8.9.4.20.20.05</v>
      </c>
      <c r="N142" s="88" t="str">
        <f>+C142</f>
        <v>PASSIVO FISCAL DIFERIDO DE CSLL/CAIXAPAR</v>
      </c>
      <c r="O142" s="88">
        <v>0</v>
      </c>
      <c r="P142" s="7"/>
    </row>
    <row r="143" spans="1:16" s="93" customFormat="1">
      <c r="A143" s="84" t="s">
        <v>157</v>
      </c>
      <c r="B143" s="78">
        <v>0</v>
      </c>
      <c r="C143" s="78" t="s">
        <v>516</v>
      </c>
      <c r="D143" s="125">
        <f>IFERROR(VLOOKUP($A143,'Balancete 2015'!$A:$D,4,0),"0")+O143</f>
        <v>-4574.1900000000005</v>
      </c>
      <c r="E143" s="78">
        <v>910</v>
      </c>
      <c r="F143" s="78"/>
      <c r="G143" s="78"/>
      <c r="H143" s="78"/>
      <c r="I143" s="125">
        <f>IFERROR(VLOOKUP($A143,'Balancete 2016'!$A:$D,4,0),"0")</f>
        <v>-552.65</v>
      </c>
      <c r="J143" s="95"/>
      <c r="K143" s="57"/>
      <c r="M143" s="87" t="str">
        <f>VLOOKUP(A143,'1 sem.15'!A:D,1,0)</f>
        <v>8.9.4.20.31</v>
      </c>
      <c r="N143" s="161" t="str">
        <f>VLOOKUP(A143,'1 sem.15'!A:D,3,0)</f>
        <v>ATIVO FISCAL DIFERIDO - CSLL/CAIXAPAR</v>
      </c>
      <c r="O143" s="161">
        <f>VLOOKUP(A143,'1 sem.15'!A:D,4,0)</f>
        <v>-3996</v>
      </c>
      <c r="P143" s="100"/>
    </row>
    <row r="144" spans="1:16">
      <c r="A144" s="84" t="s">
        <v>344</v>
      </c>
      <c r="B144" s="78">
        <v>-8</v>
      </c>
      <c r="C144" s="78" t="s">
        <v>517</v>
      </c>
      <c r="D144" s="125">
        <f>IFERROR(VLOOKUP($A144,'Balancete 2015'!$A:$D,4,0),"0")+O144</f>
        <v>-4574.1900000000005</v>
      </c>
      <c r="E144" s="78"/>
      <c r="F144" s="78"/>
      <c r="G144" s="78"/>
      <c r="H144" s="78"/>
      <c r="I144" s="125">
        <f>IFERROR(VLOOKUP($A144,'Balancete 2016'!$A:$D,4,0),"0")</f>
        <v>-552.65</v>
      </c>
      <c r="J144" s="6"/>
      <c r="K144" s="57"/>
      <c r="M144" s="87" t="str">
        <f>VLOOKUP(A144,'1 sem.15'!A:D,1,0)</f>
        <v>8.9.4.20.31.01</v>
      </c>
      <c r="N144" s="88" t="str">
        <f>VLOOKUP(A144,'1 sem.15'!A:D,3,0)</f>
        <v>DIFERENCAS TEMPORARIAS CSLL/CAIXAPAR</v>
      </c>
      <c r="O144" s="88">
        <f>VLOOKUP(A144,'1 sem.15'!A:D,4,0)</f>
        <v>-3996</v>
      </c>
      <c r="P144" s="7"/>
    </row>
    <row r="145" spans="1:16">
      <c r="A145" s="89" t="s">
        <v>1066</v>
      </c>
      <c r="B145" s="89">
        <v>-4</v>
      </c>
      <c r="C145" s="89" t="s">
        <v>1067</v>
      </c>
      <c r="D145" s="125"/>
      <c r="E145" s="78"/>
      <c r="F145" s="78">
        <v>950</v>
      </c>
      <c r="G145" s="78">
        <v>950</v>
      </c>
      <c r="H145" s="78"/>
      <c r="I145" s="125">
        <f>IFERROR(VLOOKUP($A145,'Balancete 2016'!$A:$D,4,0),"0")</f>
        <v>374373.43</v>
      </c>
      <c r="J145" s="6"/>
      <c r="K145" s="57"/>
      <c r="M145" s="87"/>
      <c r="N145" s="88"/>
      <c r="O145" s="88"/>
      <c r="P145" s="7"/>
    </row>
    <row r="146" spans="1:16">
      <c r="A146" s="89" t="s">
        <v>1068</v>
      </c>
      <c r="B146" s="89">
        <v>-8</v>
      </c>
      <c r="C146" s="89" t="s">
        <v>1067</v>
      </c>
      <c r="D146" s="125"/>
      <c r="E146" s="78"/>
      <c r="F146" s="78"/>
      <c r="G146" s="78"/>
      <c r="H146" s="78"/>
      <c r="I146" s="125">
        <f>IFERROR(VLOOKUP($A146,'Balancete 2016'!$A:$D,4,0),"0")</f>
        <v>374373.43</v>
      </c>
      <c r="J146" s="6"/>
      <c r="K146" s="57"/>
      <c r="M146" s="87"/>
      <c r="N146" s="88"/>
      <c r="O146" s="88"/>
      <c r="P146" s="7"/>
    </row>
    <row r="147" spans="1:16">
      <c r="A147" s="89" t="s">
        <v>1069</v>
      </c>
      <c r="B147" s="89">
        <v>-3</v>
      </c>
      <c r="C147" s="89" t="s">
        <v>1067</v>
      </c>
      <c r="D147" s="125"/>
      <c r="E147" s="78">
        <v>950</v>
      </c>
      <c r="F147" s="78"/>
      <c r="G147" s="78"/>
      <c r="H147" s="78"/>
      <c r="I147" s="125">
        <f>IFERROR(VLOOKUP($A147,'Balancete 2016'!$A:$D,4,0),"0")</f>
        <v>374373.43</v>
      </c>
      <c r="J147" s="6"/>
      <c r="K147" s="57"/>
      <c r="M147" s="87"/>
      <c r="N147" s="88"/>
      <c r="O147" s="88"/>
      <c r="P147" s="7"/>
    </row>
    <row r="148" spans="1:16">
      <c r="A148" s="89" t="s">
        <v>1070</v>
      </c>
      <c r="B148" s="89">
        <v>-9</v>
      </c>
      <c r="C148" s="89" t="s">
        <v>1071</v>
      </c>
      <c r="D148" s="125"/>
      <c r="E148" s="78"/>
      <c r="F148" s="78"/>
      <c r="G148" s="78"/>
      <c r="H148" s="78"/>
      <c r="I148" s="125">
        <f>IFERROR(VLOOKUP($A148,'Balancete 2016'!$A:$D,4,0),"0")</f>
        <v>374373.43</v>
      </c>
      <c r="J148" s="6"/>
      <c r="K148" s="57"/>
      <c r="M148" s="87"/>
      <c r="N148" s="88"/>
      <c r="O148" s="88"/>
      <c r="P148" s="7"/>
    </row>
    <row r="149" spans="1:16">
      <c r="A149" s="84">
        <v>7</v>
      </c>
      <c r="B149" s="78">
        <v>-5</v>
      </c>
      <c r="C149" s="78" t="s">
        <v>215</v>
      </c>
      <c r="D149" s="125">
        <f>IFERROR(VLOOKUP($A149,'Balancete 2015'!$A:$D,4,0),"0")+O149</f>
        <v>754284909.5</v>
      </c>
      <c r="E149" s="78"/>
      <c r="F149" s="78"/>
      <c r="G149" s="78"/>
      <c r="H149" s="78"/>
      <c r="I149" s="125">
        <f>IFERROR(VLOOKUP($A149,'Balancete 2016'!$A:$D,4,0),"0")</f>
        <v>231487327.16999999</v>
      </c>
      <c r="J149" s="6"/>
      <c r="K149" s="57"/>
      <c r="M149" s="87">
        <f>VLOOKUP(A149,'1 sem.15'!A:D,1,0)</f>
        <v>7</v>
      </c>
      <c r="N149" s="88" t="str">
        <f>VLOOKUP(A149,'1 sem.15'!A:D,3,0)</f>
        <v>CONTAS DE RESULTADO CREDORAS</v>
      </c>
      <c r="O149" s="88">
        <f>VLOOKUP(A149,'1 sem.15'!A:D,4,0)</f>
        <v>605440133.54999995</v>
      </c>
      <c r="P149" s="7"/>
    </row>
    <row r="150" spans="1:16">
      <c r="A150" s="84" t="s">
        <v>216</v>
      </c>
      <c r="B150" s="78">
        <v>-2</v>
      </c>
      <c r="C150" s="78" t="s">
        <v>217</v>
      </c>
      <c r="D150" s="125">
        <f>IFERROR(VLOOKUP($A150,'Balancete 2015'!$A:$D,4,0),"0")+O150</f>
        <v>754284909.5</v>
      </c>
      <c r="E150" s="78"/>
      <c r="F150" s="78"/>
      <c r="G150" s="78"/>
      <c r="H150" s="78"/>
      <c r="I150" s="125">
        <f>IFERROR(VLOOKUP($A150,'Balancete 2016'!$A:$D,4,0),"0")</f>
        <v>231487327.16999999</v>
      </c>
      <c r="J150" s="6"/>
      <c r="K150" s="57"/>
      <c r="M150" s="87" t="str">
        <f>VLOOKUP(A150,'1 sem.15'!A:D,1,0)</f>
        <v>7.1</v>
      </c>
      <c r="N150" s="88" t="str">
        <f>VLOOKUP(A150,'1 sem.15'!A:D,3,0)</f>
        <v>RECEITAS OPERACIONAIS</v>
      </c>
      <c r="O150" s="88">
        <f>VLOOKUP(A150,'1 sem.15'!A:D,4,0)</f>
        <v>605440133.54999995</v>
      </c>
      <c r="P150" s="7"/>
    </row>
    <row r="151" spans="1:16" s="93" customFormat="1">
      <c r="A151" s="84" t="s">
        <v>339</v>
      </c>
      <c r="B151" s="78">
        <v>-5</v>
      </c>
      <c r="C151" s="78" t="s">
        <v>218</v>
      </c>
      <c r="D151" s="125">
        <f>IFERROR(VLOOKUP($A151,'Balancete 2015'!$A:$D,4,0),"0")+O151</f>
        <v>12388856.99</v>
      </c>
      <c r="E151" s="78">
        <v>700</v>
      </c>
      <c r="F151" s="78">
        <v>200</v>
      </c>
      <c r="G151" s="78"/>
      <c r="H151" s="78"/>
      <c r="I151" s="125">
        <f>IFERROR(VLOOKUP($A151,'Balancete 2016'!$A:$D,4,0),"0")</f>
        <v>14465833.75</v>
      </c>
      <c r="J151" s="95"/>
      <c r="K151" s="57"/>
      <c r="M151" s="87" t="str">
        <f>VLOOKUP(A151,'1 sem.15'!A:D,1,0)</f>
        <v>7.1.4</v>
      </c>
      <c r="N151" s="161" t="str">
        <f>VLOOKUP(A151,'1 sem.15'!A:D,3,0)</f>
        <v>RENDAS APLIC INTERFINANCEIRAS LIQUIDEZ</v>
      </c>
      <c r="O151" s="161">
        <f>VLOOKUP(A151,'1 sem.15'!A:D,4,0)</f>
        <v>5572985.2599999998</v>
      </c>
      <c r="P151" s="100"/>
    </row>
    <row r="152" spans="1:16">
      <c r="A152" s="84" t="s">
        <v>219</v>
      </c>
      <c r="B152" s="78">
        <v>-9</v>
      </c>
      <c r="C152" s="78" t="s">
        <v>220</v>
      </c>
      <c r="D152" s="125">
        <f>IFERROR(VLOOKUP($A152,'Balancete 2015'!$A:$D,4,0),"0")+O152</f>
        <v>12388856.99</v>
      </c>
      <c r="E152" s="78"/>
      <c r="F152" s="78"/>
      <c r="G152" s="78"/>
      <c r="H152" s="78"/>
      <c r="I152" s="125">
        <f>IFERROR(VLOOKUP($A152,'Balancete 2016'!$A:$D,4,0),"0")</f>
        <v>14465833.75</v>
      </c>
      <c r="J152" s="6"/>
      <c r="M152" s="87" t="str">
        <f>VLOOKUP(A152,'1 sem.15'!A:D,1,0)</f>
        <v>7.1.4.10</v>
      </c>
      <c r="N152" s="88" t="str">
        <f>VLOOKUP(A152,'1 sem.15'!A:D,3,0)</f>
        <v>RENDAS DE APLIC EM OPER COMPROMISSADAS</v>
      </c>
      <c r="O152" s="88">
        <f>VLOOKUP(A152,'1 sem.15'!A:D,4,0)</f>
        <v>5572985.2599999998</v>
      </c>
      <c r="P152" s="7"/>
    </row>
    <row r="153" spans="1:16">
      <c r="A153" s="84" t="s">
        <v>221</v>
      </c>
      <c r="B153" s="78">
        <v>0</v>
      </c>
      <c r="C153" s="78" t="s">
        <v>222</v>
      </c>
      <c r="D153" s="125">
        <f>IFERROR(VLOOKUP($A153,'Balancete 2015'!$A:$D,4,0),"0")+O153</f>
        <v>12388856.99</v>
      </c>
      <c r="E153" s="78"/>
      <c r="F153" s="78"/>
      <c r="G153" s="78"/>
      <c r="H153" s="78"/>
      <c r="I153" s="125">
        <f>IFERROR(VLOOKUP($A153,'Balancete 2016'!$A:$D,4,0),"0")</f>
        <v>14465833.75</v>
      </c>
      <c r="J153" s="6"/>
      <c r="M153" s="87" t="str">
        <f>VLOOKUP(A153,'1 sem.15'!A:D,1,0)</f>
        <v>7.1.4.10.11</v>
      </c>
      <c r="N153" s="88" t="str">
        <f>VLOOKUP(A153,'1 sem.15'!A:D,3,0)</f>
        <v>POSICAO BANCADA</v>
      </c>
      <c r="O153" s="88">
        <f>VLOOKUP(A153,'1 sem.15'!A:D,4,0)</f>
        <v>5572985.2599999998</v>
      </c>
      <c r="P153" s="7"/>
    </row>
    <row r="154" spans="1:16">
      <c r="A154" s="84" t="s">
        <v>223</v>
      </c>
      <c r="B154" s="78">
        <v>-9</v>
      </c>
      <c r="C154" s="78" t="s">
        <v>563</v>
      </c>
      <c r="D154" s="125">
        <f>IFERROR(VLOOKUP($A154,'Balancete 2015'!$A:$D,4,0),"0")+O154</f>
        <v>12388856.99</v>
      </c>
      <c r="E154" s="78"/>
      <c r="F154" s="78"/>
      <c r="G154" s="78"/>
      <c r="H154" s="78"/>
      <c r="I154" s="125">
        <f>IFERROR(VLOOKUP($A154,'Balancete 2016'!$A:$D,4,0),"0")</f>
        <v>14465833.75</v>
      </c>
      <c r="J154" s="6"/>
      <c r="M154" s="87" t="str">
        <f>VLOOKUP(A154,'1 sem.15'!A:D,1,0)</f>
        <v>7.1.4.10.11.01</v>
      </c>
      <c r="N154" s="88" t="str">
        <f>VLOOKUP(A154,'1 sem.15'!A:D,3,0)</f>
        <v>RDAS DE APLIC EM OPS COMPROMISSADAS/PB</v>
      </c>
      <c r="O154" s="88">
        <f>VLOOKUP(A154,'1 sem.15'!A:D,4,0)</f>
        <v>5572985.2599999998</v>
      </c>
    </row>
    <row r="155" spans="1:16">
      <c r="A155" s="84" t="s">
        <v>340</v>
      </c>
      <c r="B155" s="78">
        <v>-3</v>
      </c>
      <c r="C155" s="78" t="s">
        <v>224</v>
      </c>
      <c r="D155" s="125">
        <f>IFERROR(VLOOKUP($A155,'Balancete 2015'!$A:$D,4,0),"0")+O155</f>
        <v>101846605.61</v>
      </c>
      <c r="E155" s="78"/>
      <c r="F155" s="78">
        <v>200</v>
      </c>
      <c r="G155" s="78"/>
      <c r="H155" s="78"/>
      <c r="I155" s="125">
        <f>IFERROR(VLOOKUP($A155,'Balancete 2016'!$A:$D,4,0),"0")</f>
        <v>110249938.95999999</v>
      </c>
      <c r="J155" s="6"/>
      <c r="M155" s="87" t="str">
        <f>VLOOKUP(A155,'1 sem.15'!A:D,1,0)</f>
        <v>7.1.5</v>
      </c>
      <c r="N155" s="88" t="str">
        <f>VLOOKUP(A155,'1 sem.15'!A:D,3,0)</f>
        <v>RDAS C/TIT VAL MOBIL E INSTRUM DERIVAT</v>
      </c>
      <c r="O155" s="88">
        <f>VLOOKUP(A155,'1 sem.15'!A:D,4,0)</f>
        <v>53338295.229999997</v>
      </c>
    </row>
    <row r="156" spans="1:16" s="93" customFormat="1">
      <c r="A156" s="84" t="s">
        <v>225</v>
      </c>
      <c r="B156" s="78">
        <v>-7</v>
      </c>
      <c r="C156" s="78" t="s">
        <v>226</v>
      </c>
      <c r="D156" s="125">
        <f>IFERROR(VLOOKUP($A156,'Balancete 2015'!$A:$D,4,0),"0")+O156</f>
        <v>64054899.799999997</v>
      </c>
      <c r="E156" s="78">
        <v>700</v>
      </c>
      <c r="F156" s="78"/>
      <c r="G156" s="78"/>
      <c r="H156" s="78"/>
      <c r="I156" s="125">
        <f>IFERROR(VLOOKUP($A156,'Balancete 2016'!$A:$D,4,0),"0")</f>
        <v>88211185.159999996</v>
      </c>
      <c r="J156" s="95"/>
      <c r="M156" s="87" t="str">
        <f>VLOOKUP(A156,'1 sem.15'!A:D,1,0)</f>
        <v>7.1.5.10</v>
      </c>
      <c r="N156" s="161" t="str">
        <f>VLOOKUP(A156,'1 sem.15'!A:D,3,0)</f>
        <v>RENDAS DE TITULOS DE RENDA FIXA</v>
      </c>
      <c r="O156" s="161">
        <f>VLOOKUP(A156,'1 sem.15'!A:D,4,0)</f>
        <v>22893814.34</v>
      </c>
    </row>
    <row r="157" spans="1:16">
      <c r="A157" s="84" t="s">
        <v>227</v>
      </c>
      <c r="B157" s="78">
        <v>-5</v>
      </c>
      <c r="C157" s="78" t="s">
        <v>564</v>
      </c>
      <c r="D157" s="125">
        <f>IFERROR(VLOOKUP($A157,'Balancete 2015'!$A:$D,4,0),"0")+O157</f>
        <v>64054899.799999997</v>
      </c>
      <c r="E157" s="78"/>
      <c r="F157" s="78"/>
      <c r="G157" s="78"/>
      <c r="H157" s="78"/>
      <c r="I157" s="125">
        <f>IFERROR(VLOOKUP($A157,'Balancete 2016'!$A:$D,4,0),"0")</f>
        <v>88211185.159999996</v>
      </c>
      <c r="J157" s="6"/>
      <c r="M157" s="87" t="str">
        <f>VLOOKUP(A157,'1 sem.15'!A:D,1,0)</f>
        <v>7.1.5.10.12</v>
      </c>
      <c r="N157" s="88" t="str">
        <f>VLOOKUP(A157,'1 sem.15'!A:D,3,0)</f>
        <v>RENDAS DE TITULOS DE RENDA FIXA/SUBS</v>
      </c>
      <c r="O157" s="88">
        <f>VLOOKUP(A157,'1 sem.15'!A:D,4,0)</f>
        <v>22893814.34</v>
      </c>
    </row>
    <row r="158" spans="1:16">
      <c r="A158" s="84" t="s">
        <v>228</v>
      </c>
      <c r="B158" s="78">
        <v>-3</v>
      </c>
      <c r="C158" s="78" t="s">
        <v>565</v>
      </c>
      <c r="D158" s="125">
        <f>IFERROR(VLOOKUP($A158,'Balancete 2015'!$A:$D,4,0),"0")+O158</f>
        <v>64054899.799999997</v>
      </c>
      <c r="E158" s="78"/>
      <c r="F158" s="78"/>
      <c r="G158" s="78"/>
      <c r="H158" s="78"/>
      <c r="I158" s="125">
        <f>IFERROR(VLOOKUP($A158,'Balancete 2016'!$A:$D,4,0),"0")</f>
        <v>88211185.159999996</v>
      </c>
      <c r="J158" s="6"/>
      <c r="M158" s="87" t="str">
        <f>VLOOKUP(A158,'1 sem.15'!A:D,1,0)</f>
        <v>7.1.5.10.12.01</v>
      </c>
      <c r="N158" s="88" t="str">
        <f>VLOOKUP(A158,'1 sem.15'!A:D,3,0)</f>
        <v>RDAS DE TITULOS DE RENDA FIXA</v>
      </c>
      <c r="O158" s="88">
        <f>VLOOKUP(A158,'1 sem.15'!A:D,4,0)</f>
        <v>22893814.34</v>
      </c>
    </row>
    <row r="159" spans="1:16">
      <c r="A159" s="84" t="s">
        <v>566</v>
      </c>
      <c r="B159" s="78">
        <v>0</v>
      </c>
      <c r="C159" s="78" t="s">
        <v>567</v>
      </c>
      <c r="D159" s="125">
        <f>IFERROR(VLOOKUP($A159,'Balancete 2015'!$A:$D,4,0),"0")+O159</f>
        <v>14872329.760000002</v>
      </c>
      <c r="E159" s="78"/>
      <c r="F159" s="78"/>
      <c r="G159" s="78"/>
      <c r="H159" s="78"/>
      <c r="I159" s="125">
        <f>IFERROR(VLOOKUP($A159,'Balancete 2016'!$A:$D,4,0),"0")</f>
        <v>13192437.710000001</v>
      </c>
      <c r="J159" s="6"/>
      <c r="M159" s="87" t="str">
        <f>VLOOKUP(A159,'1 sem.15'!A:D,1,0)</f>
        <v>7.1.5.20</v>
      </c>
      <c r="N159" s="88" t="str">
        <f>VLOOKUP(A159,'1 sem.15'!A:D,3,0)</f>
        <v>RENDAS DE TITULOS DE RENDA VARIAVEL</v>
      </c>
      <c r="O159" s="88">
        <f>VLOOKUP(A159,'1 sem.15'!A:D,4,0)</f>
        <v>8867771.9600000009</v>
      </c>
    </row>
    <row r="160" spans="1:16">
      <c r="A160" s="84" t="s">
        <v>568</v>
      </c>
      <c r="B160" s="78">
        <v>-9</v>
      </c>
      <c r="C160" s="78" t="s">
        <v>569</v>
      </c>
      <c r="D160" s="125">
        <f>IFERROR(VLOOKUP($A160,'Balancete 2015'!$A:$D,4,0),"0")+O160</f>
        <v>14872329.760000002</v>
      </c>
      <c r="E160" s="78"/>
      <c r="F160" s="78"/>
      <c r="G160" s="78"/>
      <c r="H160" s="78"/>
      <c r="I160" s="125">
        <f>IFERROR(VLOOKUP($A160,'Balancete 2016'!$A:$D,4,0),"0")</f>
        <v>13192437.710000001</v>
      </c>
      <c r="J160" s="6"/>
      <c r="M160" s="87" t="str">
        <f>VLOOKUP(A160,'1 sem.15'!A:D,1,0)</f>
        <v>7.1.5.20.12</v>
      </c>
      <c r="N160" s="88" t="str">
        <f>VLOOKUP(A160,'1 sem.15'!A:D,3,0)</f>
        <v>REC DE APLIC EM RENDA VARIAVEL</v>
      </c>
      <c r="O160" s="88">
        <f>VLOOKUP(A160,'1 sem.15'!A:D,4,0)</f>
        <v>8867771.9600000009</v>
      </c>
    </row>
    <row r="161" spans="1:15" s="93" customFormat="1">
      <c r="A161" s="84" t="s">
        <v>570</v>
      </c>
      <c r="B161" s="78">
        <v>-7</v>
      </c>
      <c r="C161" s="78" t="s">
        <v>571</v>
      </c>
      <c r="D161" s="125">
        <f>IFERROR(VLOOKUP($A161,'Balancete 2015'!$A:$D,4,0),"0")+O161</f>
        <v>12748281.149999999</v>
      </c>
      <c r="E161" s="78">
        <v>500</v>
      </c>
      <c r="F161" s="162"/>
      <c r="G161" s="78"/>
      <c r="H161" s="78"/>
      <c r="I161" s="125">
        <f>IFERROR(VLOOKUP($A161,'Balancete 2016'!$A:$D,4,0),"0")</f>
        <v>8875802.7699999996</v>
      </c>
      <c r="J161" s="95"/>
      <c r="M161" s="87" t="str">
        <f>VLOOKUP(A161,'1 sem.15'!A:D,1,0)</f>
        <v>7.1.5.20.12.01</v>
      </c>
      <c r="N161" s="161" t="str">
        <f>VLOOKUP(A161,'1 sem.15'!A:D,3,0)</f>
        <v>RDAS ACOES CIAS ABERTAS - DIVID CIELO/CAIXAPAR</v>
      </c>
      <c r="O161" s="161">
        <f>VLOOKUP(A161,'1 sem.15'!A:D,4,0)</f>
        <v>8049249.6299999999</v>
      </c>
    </row>
    <row r="162" spans="1:15" s="93" customFormat="1">
      <c r="A162" s="84" t="s">
        <v>572</v>
      </c>
      <c r="B162" s="78">
        <v>-5</v>
      </c>
      <c r="C162" s="78" t="s">
        <v>573</v>
      </c>
      <c r="D162" s="125">
        <f>IFERROR(VLOOKUP($A162,'Balancete 2015'!$A:$D,4,0),"0")+O162</f>
        <v>2070504.13</v>
      </c>
      <c r="E162" s="78">
        <v>500</v>
      </c>
      <c r="F162" s="78"/>
      <c r="G162" s="78"/>
      <c r="H162" s="78"/>
      <c r="I162" s="125">
        <f>IFERROR(VLOOKUP($A162,'Balancete 2016'!$A:$D,4,0),"0")</f>
        <v>4316634.9400000004</v>
      </c>
      <c r="J162" s="95"/>
      <c r="M162" s="87" t="str">
        <f>VLOOKUP(A162,'1 sem.15'!A:D,1,0)</f>
        <v>7.1.5.20.12.02</v>
      </c>
      <c r="N162" s="161" t="str">
        <f>VLOOKUP(A162,'1 sem.15'!A:D,3,0)</f>
        <v>RDAS ACOES CIAS ABERTAS - JCP CIELO/CAIXAPAR</v>
      </c>
      <c r="O162" s="161">
        <f>VLOOKUP(A162,'1 sem.15'!A:D,4,0)</f>
        <v>764977.85</v>
      </c>
    </row>
    <row r="163" spans="1:15" s="93" customFormat="1">
      <c r="A163" s="84" t="s">
        <v>574</v>
      </c>
      <c r="B163" s="78">
        <v>-3</v>
      </c>
      <c r="C163" s="78" t="s">
        <v>575</v>
      </c>
      <c r="D163" s="125">
        <f>IFERROR(VLOOKUP($A163,'Balancete 2015'!$A:$D,4,0),"0")+O163</f>
        <v>0</v>
      </c>
      <c r="E163" s="78">
        <v>500</v>
      </c>
      <c r="F163" s="78"/>
      <c r="G163" s="78"/>
      <c r="H163" s="78"/>
      <c r="I163" s="125" t="str">
        <f>IFERROR(VLOOKUP($A163,'Balancete 2016'!$A:$D,4,0),"0")</f>
        <v>0</v>
      </c>
      <c r="J163" s="95"/>
      <c r="M163" s="87" t="str">
        <f>+A163</f>
        <v>7.1.5.20.12.03</v>
      </c>
      <c r="N163" s="161" t="str">
        <f>+C163</f>
        <v>RDAS ACOES CIAS FECHADAS/CAIXAPAR</v>
      </c>
      <c r="O163" s="161">
        <v>0</v>
      </c>
    </row>
    <row r="164" spans="1:15" s="93" customFormat="1">
      <c r="A164" s="77" t="s">
        <v>957</v>
      </c>
      <c r="B164" s="78"/>
      <c r="C164" s="78" t="s">
        <v>958</v>
      </c>
      <c r="D164" s="125">
        <f>IFERROR(VLOOKUP($A164,'Balancete 2015'!$A:$D,4,0),"0")+O164</f>
        <v>53544.480000000003</v>
      </c>
      <c r="E164" s="78">
        <v>500</v>
      </c>
      <c r="F164" s="78"/>
      <c r="G164" s="78"/>
      <c r="H164" s="78"/>
      <c r="I164" s="125" t="str">
        <f>IFERROR(VLOOKUP($A164,'Balancete 2016'!$A:$D,4,0),"0")</f>
        <v>0</v>
      </c>
      <c r="J164" s="95"/>
      <c r="M164" s="87" t="s">
        <v>957</v>
      </c>
      <c r="N164" s="161" t="str">
        <f>+C164</f>
        <v>RDAS ACOES CIAS ABERT EXERC ANTER- JCP CIELO/CXP</v>
      </c>
      <c r="O164" s="161">
        <f>VLOOKUP(A164,'1 sem.15'!A:D,4,0)</f>
        <v>53544.480000000003</v>
      </c>
    </row>
    <row r="165" spans="1:15" s="93" customFormat="1">
      <c r="A165" s="84" t="s">
        <v>576</v>
      </c>
      <c r="B165" s="78">
        <v>-8</v>
      </c>
      <c r="C165" s="78" t="s">
        <v>577</v>
      </c>
      <c r="D165" s="125">
        <f>IFERROR(VLOOKUP($A165,'Balancete 2015'!$A:$D,4,0),"0")+O165</f>
        <v>22919376.050000001</v>
      </c>
      <c r="E165" s="78">
        <v>700</v>
      </c>
      <c r="F165" s="78"/>
      <c r="G165" s="78"/>
      <c r="H165" s="78"/>
      <c r="I165" s="125">
        <f>IFERROR(VLOOKUP($A165,'Balancete 2016'!$A:$D,4,0),"0")</f>
        <v>8846316.0899999999</v>
      </c>
      <c r="J165" s="95"/>
      <c r="M165" s="87" t="str">
        <f>VLOOKUP(A165,'1 sem.15'!A:D,1,0)</f>
        <v>7.1.5.40</v>
      </c>
      <c r="N165" s="161" t="str">
        <f>VLOOKUP(A165,'1 sem.15'!A:D,3,0)</f>
        <v>RENDAS DE APLICACOES EM FUNDOS DE INVESTIMENTO</v>
      </c>
      <c r="O165" s="161">
        <f>VLOOKUP(A165,'1 sem.15'!A:D,4,0)</f>
        <v>21576708.93</v>
      </c>
    </row>
    <row r="166" spans="1:15">
      <c r="A166" s="84" t="s">
        <v>578</v>
      </c>
      <c r="B166" s="78">
        <v>-3</v>
      </c>
      <c r="C166" s="78" t="s">
        <v>579</v>
      </c>
      <c r="D166" s="125">
        <f>IFERROR(VLOOKUP($A166,'Balancete 2015'!$A:$D,4,0),"0")+O166</f>
        <v>22919376.050000001</v>
      </c>
      <c r="E166" s="78"/>
      <c r="F166" s="78"/>
      <c r="G166" s="78"/>
      <c r="H166" s="78"/>
      <c r="I166" s="125">
        <f>IFERROR(VLOOKUP($A166,'Balancete 2016'!$A:$D,4,0),"0")</f>
        <v>8846316.0899999999</v>
      </c>
      <c r="J166" s="6"/>
      <c r="M166" s="87" t="str">
        <f>VLOOKUP(A166,'1 sem.15'!A:D,1,0)</f>
        <v>7.1.5.40.10</v>
      </c>
      <c r="N166" s="88" t="str">
        <f>VLOOKUP(A166,'1 sem.15'!A:D,3,0)</f>
        <v>RENDAS DE APLICACOES EM FUNDOS DE INVEST</v>
      </c>
      <c r="O166" s="88">
        <f>VLOOKUP(A166,'1 sem.15'!A:D,4,0)</f>
        <v>21576708.93</v>
      </c>
    </row>
    <row r="167" spans="1:15">
      <c r="A167" s="84" t="s">
        <v>580</v>
      </c>
      <c r="B167" s="78">
        <v>-8</v>
      </c>
      <c r="C167" s="78" t="s">
        <v>581</v>
      </c>
      <c r="D167" s="125">
        <f>IFERROR(VLOOKUP($A167,'Balancete 2015'!$A:$D,4,0),"0")+O167</f>
        <v>22919376.050000001</v>
      </c>
      <c r="E167" s="78"/>
      <c r="F167" s="78"/>
      <c r="G167" s="78"/>
      <c r="H167" s="78"/>
      <c r="I167" s="125">
        <f>IFERROR(VLOOKUP($A167,'Balancete 2016'!$A:$D,4,0),"0")</f>
        <v>8846316.0899999999</v>
      </c>
      <c r="J167" s="6"/>
      <c r="M167" s="87" t="str">
        <f>VLOOKUP(A167,'1 sem.15'!A:D,1,0)</f>
        <v>7.1.5.40.10.17</v>
      </c>
      <c r="N167" s="88" t="str">
        <f>VLOOKUP(A167,'1 sem.15'!A:D,3,0)</f>
        <v>RDAS APLIC FDO INVEST REF/CAIXAPAR</v>
      </c>
      <c r="O167" s="88">
        <f>VLOOKUP(A167,'1 sem.15'!A:D,4,0)</f>
        <v>21576708.93</v>
      </c>
    </row>
    <row r="168" spans="1:15">
      <c r="A168" s="84" t="s">
        <v>332</v>
      </c>
      <c r="B168" s="78">
        <v>-8</v>
      </c>
      <c r="C168" s="78" t="s">
        <v>229</v>
      </c>
      <c r="D168" s="125">
        <f>IFERROR(VLOOKUP($A168,'Balancete 2015'!$A:$D,4,0),"0")+O168</f>
        <v>602837877.54999995</v>
      </c>
      <c r="E168" s="78"/>
      <c r="F168" s="78"/>
      <c r="G168" s="78"/>
      <c r="H168" s="78"/>
      <c r="I168" s="125">
        <f>IFERROR(VLOOKUP($A168,'Balancete 2016'!$A:$D,4,0),"0")</f>
        <v>105899634</v>
      </c>
      <c r="J168" s="6"/>
      <c r="M168" s="87" t="str">
        <f>VLOOKUP(A168,'1 sem.15'!A:D,1,0)</f>
        <v>7.1.8</v>
      </c>
      <c r="N168" s="88" t="str">
        <f>VLOOKUP(A168,'1 sem.15'!A:D,3,0)</f>
        <v>RENDAS DE PARTICIPACOES</v>
      </c>
      <c r="O168" s="88">
        <f>VLOOKUP(A168,'1 sem.15'!A:D,4,0)</f>
        <v>510836389.07999998</v>
      </c>
    </row>
    <row r="169" spans="1:15">
      <c r="A169" s="84" t="s">
        <v>230</v>
      </c>
      <c r="B169" s="78">
        <v>-5</v>
      </c>
      <c r="C169" s="78" t="s">
        <v>231</v>
      </c>
      <c r="D169" s="125">
        <f>IFERROR(VLOOKUP($A169,'Balancete 2015'!$A:$D,4,0),"0")+O169</f>
        <v>602837877.54999995</v>
      </c>
      <c r="E169" s="78"/>
      <c r="F169" s="78"/>
      <c r="G169" s="78"/>
      <c r="H169" s="78"/>
      <c r="I169" s="125">
        <f>IFERROR(VLOOKUP($A169,'Balancete 2016'!$A:$D,4,0),"0")</f>
        <v>105899634</v>
      </c>
      <c r="J169" s="6"/>
      <c r="M169" s="87" t="str">
        <f>VLOOKUP(A169,'1 sem.15'!A:D,1,0)</f>
        <v>7.1.8.20</v>
      </c>
      <c r="N169" s="88" t="str">
        <f>VLOOKUP(A169,'1 sem.15'!A:D,3,0)</f>
        <v>RENDAS DE AJUSTES EM INVEST EM COLIG E CONTROL</v>
      </c>
      <c r="O169" s="88">
        <f>VLOOKUP(A169,'1 sem.15'!A:D,4,0)</f>
        <v>510836389.07999998</v>
      </c>
    </row>
    <row r="170" spans="1:15">
      <c r="A170" s="84" t="s">
        <v>232</v>
      </c>
      <c r="B170" s="78">
        <v>0</v>
      </c>
      <c r="C170" s="78" t="s">
        <v>231</v>
      </c>
      <c r="D170" s="125">
        <f>IFERROR(VLOOKUP($A170,'Balancete 2015'!$A:$D,4,0),"0")+O170</f>
        <v>602837877.54999995</v>
      </c>
      <c r="E170" s="78"/>
      <c r="F170" s="78"/>
      <c r="G170" s="78"/>
      <c r="H170" s="78"/>
      <c r="I170" s="125">
        <f>IFERROR(VLOOKUP($A170,'Balancete 2016'!$A:$D,4,0),"0")</f>
        <v>105899634</v>
      </c>
      <c r="J170" s="6"/>
      <c r="M170" s="87" t="str">
        <f>VLOOKUP(A170,'1 sem.15'!A:D,1,0)</f>
        <v>7.1.8.20.10</v>
      </c>
      <c r="N170" s="88" t="str">
        <f>VLOOKUP(A170,'1 sem.15'!A:D,3,0)</f>
        <v>RENDAS DE AJUSTES EM INVEST EM COLIG E CONTROL</v>
      </c>
      <c r="O170" s="88">
        <f>VLOOKUP(A170,'1 sem.15'!A:D,4,0)</f>
        <v>510836389.07999998</v>
      </c>
    </row>
    <row r="171" spans="1:15" s="93" customFormat="1">
      <c r="A171" s="84" t="s">
        <v>233</v>
      </c>
      <c r="B171" s="78">
        <v>-5</v>
      </c>
      <c r="C171" s="78" t="s">
        <v>314</v>
      </c>
      <c r="D171" s="125">
        <f>IFERROR(VLOOKUP($A171,'Balancete 2015'!$A:$D,4,0),"0")+O171</f>
        <v>489025313.69000006</v>
      </c>
      <c r="E171" s="78">
        <v>100</v>
      </c>
      <c r="F171" s="78"/>
      <c r="G171" s="78"/>
      <c r="H171" s="78"/>
      <c r="I171" s="125" t="str">
        <f>IFERROR(VLOOKUP($A171,'Balancete 2016'!$A:$D,4,0),"0")</f>
        <v>0</v>
      </c>
      <c r="J171" s="95"/>
      <c r="M171" s="87" t="str">
        <f>VLOOKUP(A171,'1 sem.15'!A:D,1,0)</f>
        <v>7.1.8.20.10.20</v>
      </c>
      <c r="N171" s="161" t="str">
        <f>VLOOKUP(A171,'1 sem.15'!A:D,3,0)</f>
        <v>RENDAS DE AJUSTES INVEST CONTROL COLIGADAS</v>
      </c>
      <c r="O171" s="161">
        <f>VLOOKUP(A171,'1 sem.15'!A:D,4,0)</f>
        <v>455154052.72000003</v>
      </c>
    </row>
    <row r="172" spans="1:15" s="93" customFormat="1">
      <c r="A172" s="84" t="s">
        <v>694</v>
      </c>
      <c r="B172" s="78">
        <v>-1</v>
      </c>
      <c r="C172" s="78" t="s">
        <v>695</v>
      </c>
      <c r="D172" s="125">
        <f>IFERROR(VLOOKUP($A172,'Balancete 2015'!$A:$D,4,0),"0")+O172</f>
        <v>48898694.359999999</v>
      </c>
      <c r="E172" s="78">
        <v>100</v>
      </c>
      <c r="F172" s="78"/>
      <c r="G172" s="78"/>
      <c r="H172" s="78"/>
      <c r="I172" s="125" t="str">
        <f>IFERROR(VLOOKUP($A172,'Balancete 2016'!$A:$D,4,0),"0")</f>
        <v>0</v>
      </c>
      <c r="J172" s="95"/>
      <c r="M172" s="87" t="str">
        <f>VLOOKUP(A172,'1 sem.15'!A:D,1,0)</f>
        <v>7.1.8.20.10.22</v>
      </c>
      <c r="N172" s="161" t="str">
        <f>VLOOKUP(A172,'1 sem.15'!A:D,3,0)</f>
        <v>RDAS DE AJ INVEST GANHO COMPRA VANTAJOSA</v>
      </c>
      <c r="O172" s="161">
        <f>VLOOKUP(A172,'1 sem.15'!A:D,4,0)</f>
        <v>48898694.359999999</v>
      </c>
    </row>
    <row r="173" spans="1:15" s="93" customFormat="1">
      <c r="A173" s="84" t="s">
        <v>234</v>
      </c>
      <c r="B173" s="78">
        <v>-2</v>
      </c>
      <c r="C173" s="78" t="s">
        <v>235</v>
      </c>
      <c r="D173" s="125">
        <f>IFERROR(VLOOKUP($A173,'Balancete 2015'!$A:$D,4,0),"0")+O173</f>
        <v>64913869.5</v>
      </c>
      <c r="E173" s="78">
        <v>100</v>
      </c>
      <c r="F173" s="78"/>
      <c r="G173" s="78"/>
      <c r="H173" s="78"/>
      <c r="I173" s="125">
        <f>IFERROR(VLOOKUP($A173,'Balancete 2016'!$A:$D,4,0),"0")</f>
        <v>50520217.5</v>
      </c>
      <c r="J173" s="95"/>
      <c r="M173" s="87" t="str">
        <f>VLOOKUP(A173,'1 sem.15'!A:D,1,0)</f>
        <v>7.1.8.20.10.30</v>
      </c>
      <c r="N173" s="161" t="str">
        <f>VLOOKUP(A173,'1 sem.15'!A:D,3,0)</f>
        <v>RENDAS PART AJUSTE IFRS POSITIVO CAIXAPAR</v>
      </c>
      <c r="O173" s="161">
        <f>VLOOKUP(A173,'1 sem.15'!A:D,4,0)</f>
        <v>6783642</v>
      </c>
    </row>
    <row r="174" spans="1:15" s="93" customFormat="1">
      <c r="A174" s="89" t="s">
        <v>1094</v>
      </c>
      <c r="B174" s="89">
        <v>0</v>
      </c>
      <c r="C174" s="89" t="s">
        <v>1095</v>
      </c>
      <c r="D174" s="125"/>
      <c r="E174" s="78">
        <v>100</v>
      </c>
      <c r="F174" s="78"/>
      <c r="G174" s="78"/>
      <c r="H174" s="78"/>
      <c r="I174" s="125">
        <f>IFERROR(VLOOKUP($A174,'Balancete 2016'!$A:$D,4,0),"0")</f>
        <v>41516633.289999999</v>
      </c>
      <c r="J174" s="95"/>
      <c r="M174" s="87"/>
      <c r="N174" s="161"/>
      <c r="O174" s="161"/>
    </row>
    <row r="175" spans="1:15" s="93" customFormat="1">
      <c r="A175" s="89" t="s">
        <v>1096</v>
      </c>
      <c r="B175" s="89">
        <v>-9</v>
      </c>
      <c r="C175" s="89" t="s">
        <v>1097</v>
      </c>
      <c r="D175" s="125"/>
      <c r="E175" s="78">
        <v>100</v>
      </c>
      <c r="F175" s="78"/>
      <c r="G175" s="78"/>
      <c r="H175" s="78"/>
      <c r="I175" s="125">
        <f>IFERROR(VLOOKUP($A175,'Balancete 2016'!$A:$D,4,0),"0")</f>
        <v>787538.25</v>
      </c>
      <c r="J175" s="95"/>
      <c r="M175" s="87"/>
      <c r="N175" s="161"/>
      <c r="O175" s="161"/>
    </row>
    <row r="176" spans="1:15" s="93" customFormat="1">
      <c r="A176" s="89" t="s">
        <v>1098</v>
      </c>
      <c r="B176" s="89">
        <v>-7</v>
      </c>
      <c r="C176" s="89" t="s">
        <v>1099</v>
      </c>
      <c r="D176" s="125"/>
      <c r="E176" s="78">
        <v>100</v>
      </c>
      <c r="F176" s="78"/>
      <c r="G176" s="78"/>
      <c r="H176" s="78"/>
      <c r="I176" s="125">
        <f>IFERROR(VLOOKUP($A176,'Balancete 2016'!$A:$D,4,0),"0")</f>
        <v>293198.38</v>
      </c>
      <c r="J176" s="95"/>
      <c r="M176" s="87"/>
      <c r="N176" s="161"/>
      <c r="O176" s="161"/>
    </row>
    <row r="177" spans="1:15" s="93" customFormat="1">
      <c r="A177" s="89" t="s">
        <v>1100</v>
      </c>
      <c r="B177" s="89">
        <v>-5</v>
      </c>
      <c r="C177" s="89" t="s">
        <v>1101</v>
      </c>
      <c r="D177" s="125"/>
      <c r="E177" s="78">
        <v>100</v>
      </c>
      <c r="F177" s="78"/>
      <c r="G177" s="78"/>
      <c r="H177" s="78"/>
      <c r="I177" s="125">
        <f>IFERROR(VLOOKUP($A177,'Balancete 2016'!$A:$D,4,0),"0")</f>
        <v>7306543.3300000001</v>
      </c>
      <c r="J177" s="95"/>
      <c r="M177" s="87"/>
      <c r="N177" s="161"/>
      <c r="O177" s="161"/>
    </row>
    <row r="178" spans="1:15" s="93" customFormat="1">
      <c r="A178" s="89" t="s">
        <v>1102</v>
      </c>
      <c r="B178" s="89">
        <v>-3</v>
      </c>
      <c r="C178" s="89" t="s">
        <v>1103</v>
      </c>
      <c r="D178" s="125"/>
      <c r="E178" s="78">
        <v>100</v>
      </c>
      <c r="F178" s="78"/>
      <c r="G178" s="78"/>
      <c r="H178" s="78"/>
      <c r="I178" s="125">
        <f>IFERROR(VLOOKUP($A178,'Balancete 2016'!$A:$D,4,0),"0")</f>
        <v>33561.39</v>
      </c>
      <c r="J178" s="95"/>
      <c r="M178" s="87"/>
      <c r="N178" s="161"/>
      <c r="O178" s="161"/>
    </row>
    <row r="179" spans="1:15" s="93" customFormat="1">
      <c r="A179" s="89" t="s">
        <v>1104</v>
      </c>
      <c r="B179" s="89">
        <v>-1</v>
      </c>
      <c r="C179" s="89" t="s">
        <v>1105</v>
      </c>
      <c r="D179" s="125"/>
      <c r="E179" s="78">
        <v>100</v>
      </c>
      <c r="F179" s="78"/>
      <c r="G179" s="78"/>
      <c r="H179" s="78"/>
      <c r="I179" s="125">
        <f>IFERROR(VLOOKUP($A179,'Balancete 2016'!$A:$D,4,0),"0")</f>
        <v>2250134.12</v>
      </c>
      <c r="J179" s="95"/>
      <c r="M179" s="87"/>
      <c r="N179" s="161"/>
      <c r="O179" s="161"/>
    </row>
    <row r="180" spans="1:15" s="93" customFormat="1">
      <c r="A180" s="89" t="s">
        <v>1106</v>
      </c>
      <c r="B180" s="89">
        <v>-6</v>
      </c>
      <c r="C180" s="89" t="s">
        <v>1107</v>
      </c>
      <c r="D180" s="125"/>
      <c r="E180" s="78">
        <v>100</v>
      </c>
      <c r="F180" s="78"/>
      <c r="G180" s="78"/>
      <c r="H180" s="78"/>
      <c r="I180" s="125">
        <f>IFERROR(VLOOKUP($A180,'Balancete 2016'!$A:$D,4,0),"0")</f>
        <v>3191807.74</v>
      </c>
      <c r="J180" s="95"/>
      <c r="M180" s="87"/>
      <c r="N180" s="161"/>
      <c r="O180" s="161"/>
    </row>
    <row r="181" spans="1:15">
      <c r="A181" s="84" t="s">
        <v>335</v>
      </c>
      <c r="B181" s="78">
        <v>-6</v>
      </c>
      <c r="C181" s="78" t="s">
        <v>236</v>
      </c>
      <c r="D181" s="125">
        <f>IFERROR(VLOOKUP($A181,'Balancete 2015'!$A:$D,4,0),"0")+O181</f>
        <v>37211569.349999994</v>
      </c>
      <c r="E181" s="78"/>
      <c r="F181" s="78"/>
      <c r="G181" s="78"/>
      <c r="H181" s="78"/>
      <c r="I181" s="125">
        <f>IFERROR(VLOOKUP($A181,'Balancete 2016'!$A:$D,4,0),"0")</f>
        <v>871920.46</v>
      </c>
      <c r="J181" s="6"/>
      <c r="M181" s="87" t="str">
        <f>VLOOKUP(A181,'1 sem.15'!A:D,1,0)</f>
        <v>7.1.9</v>
      </c>
      <c r="N181" s="88" t="str">
        <f>VLOOKUP(A181,'1 sem.15'!A:D,3,0)</f>
        <v>OUTRAS RECEITAS OPERACIONAIS</v>
      </c>
      <c r="O181" s="88">
        <f>VLOOKUP(A181,'1 sem.15'!A:D,4,0)</f>
        <v>35692463.979999997</v>
      </c>
    </row>
    <row r="182" spans="1:15">
      <c r="A182" s="84" t="s">
        <v>237</v>
      </c>
      <c r="B182" s="78">
        <v>0</v>
      </c>
      <c r="C182" s="78" t="s">
        <v>238</v>
      </c>
      <c r="D182" s="125">
        <f>IFERROR(VLOOKUP($A182,'Balancete 2015'!$A:$D,4,0),"0")+O182</f>
        <v>37211569.349999994</v>
      </c>
      <c r="E182" s="78"/>
      <c r="F182" s="78"/>
      <c r="G182" s="78"/>
      <c r="H182" s="78"/>
      <c r="I182" s="125">
        <f>IFERROR(VLOOKUP($A182,'Balancete 2016'!$A:$D,4,0),"0")</f>
        <v>871920.46</v>
      </c>
      <c r="J182" s="6"/>
      <c r="M182" s="87" t="str">
        <f>VLOOKUP(A182,'1 sem.15'!A:D,1,0)</f>
        <v>7.1.9.99</v>
      </c>
      <c r="N182" s="88" t="str">
        <f>VLOOKUP(A182,'1 sem.15'!A:D,3,0)</f>
        <v>OUTRAS RENDAS OPERACIONAIS</v>
      </c>
      <c r="O182" s="88">
        <f>VLOOKUP(A182,'1 sem.15'!A:D,4,0)</f>
        <v>35692463.979999997</v>
      </c>
    </row>
    <row r="183" spans="1:15" s="93" customFormat="1">
      <c r="A183" s="84" t="s">
        <v>239</v>
      </c>
      <c r="B183" s="78">
        <v>0</v>
      </c>
      <c r="C183" s="78" t="s">
        <v>582</v>
      </c>
      <c r="D183" s="125">
        <f>IFERROR(VLOOKUP($A183,'Balancete 2015'!$A:$D,4,0),"0")+O183</f>
        <v>0</v>
      </c>
      <c r="E183" s="78">
        <v>500</v>
      </c>
      <c r="F183" s="78">
        <v>110</v>
      </c>
      <c r="G183" s="78"/>
      <c r="H183" s="78"/>
      <c r="I183" s="125" t="str">
        <f>IFERROR(VLOOKUP($A183,'Balancete 2016'!$A:$D,4,0),"0")</f>
        <v>0</v>
      </c>
      <c r="J183" s="95"/>
      <c r="M183" s="87" t="str">
        <f>+A183</f>
        <v>7.1.9.99.14</v>
      </c>
      <c r="N183" s="161" t="str">
        <f>+C183</f>
        <v>OUTRAS RDAS OPS - S/CREDITOS TRIB/CAIXAPAR</v>
      </c>
      <c r="O183" s="161">
        <v>0</v>
      </c>
    </row>
    <row r="184" spans="1:15">
      <c r="A184" s="84" t="s">
        <v>240</v>
      </c>
      <c r="B184" s="78">
        <v>-5</v>
      </c>
      <c r="C184" s="78" t="s">
        <v>583</v>
      </c>
      <c r="D184" s="125">
        <f>IFERROR(VLOOKUP($A184,'Balancete 2015'!$A:$D,4,0),"0")+O184</f>
        <v>0</v>
      </c>
      <c r="E184" s="78"/>
      <c r="F184" s="78"/>
      <c r="G184" s="78"/>
      <c r="H184" s="78"/>
      <c r="I184" s="125" t="str">
        <f>IFERROR(VLOOKUP($A184,'Balancete 2016'!$A:$D,4,0),"0")</f>
        <v>0</v>
      </c>
      <c r="J184" s="6"/>
      <c r="M184" s="87" t="str">
        <f>+A184</f>
        <v>7.1.9.99.14.20</v>
      </c>
      <c r="N184" s="88" t="str">
        <f>+C184</f>
        <v>RECEITA ATUAL MONET S/ IRPJ COMPENSAR/CAIXAPAR</v>
      </c>
      <c r="O184" s="88">
        <v>0</v>
      </c>
    </row>
    <row r="185" spans="1:15" s="93" customFormat="1">
      <c r="A185" s="84" t="s">
        <v>336</v>
      </c>
      <c r="B185" s="78">
        <v>-9</v>
      </c>
      <c r="C185" s="78" t="s">
        <v>584</v>
      </c>
      <c r="D185" s="125">
        <f>IFERROR(VLOOKUP($A185,'Balancete 2015'!$A:$D,4,0),"0")+O185</f>
        <v>37160158.379999995</v>
      </c>
      <c r="E185" s="78">
        <v>100</v>
      </c>
      <c r="F185" s="78"/>
      <c r="G185" s="78"/>
      <c r="H185" s="78"/>
      <c r="I185" s="125">
        <f>IFERROR(VLOOKUP($A185,'Balancete 2016'!$A:$D,4,0),"0")</f>
        <v>394540.74</v>
      </c>
      <c r="J185" s="95"/>
      <c r="M185" s="87" t="str">
        <f>VLOOKUP(A185,'1 sem.15'!A:D,1,0)</f>
        <v>7.1.9.99.26</v>
      </c>
      <c r="N185" s="161" t="str">
        <f>VLOOKUP(A185,'1 sem.15'!A:D,3,0)</f>
        <v>REC DE JCP E DE DIVIDENDOS SUBS</v>
      </c>
      <c r="O185" s="161">
        <f>VLOOKUP(A185,'1 sem.15'!A:D,4,0)</f>
        <v>35692463.979999997</v>
      </c>
    </row>
    <row r="186" spans="1:15">
      <c r="A186" s="84" t="s">
        <v>333</v>
      </c>
      <c r="B186" s="78">
        <v>-1</v>
      </c>
      <c r="C186" s="78" t="s">
        <v>585</v>
      </c>
      <c r="D186" s="125">
        <f>IFERROR(VLOOKUP($A186,'Balancete 2015'!$A:$D,4,0),"0")+O186</f>
        <v>37160158.379999995</v>
      </c>
      <c r="E186" s="78"/>
      <c r="F186" s="78"/>
      <c r="G186" s="78"/>
      <c r="H186" s="78"/>
      <c r="I186" s="125">
        <f>IFERROR(VLOOKUP($A186,'Balancete 2016'!$A:$D,4,0),"0")</f>
        <v>394540.74</v>
      </c>
      <c r="J186" s="6"/>
      <c r="M186" s="87" t="str">
        <f>VLOOKUP(A186,'1 sem.15'!A:D,1,0)</f>
        <v>7.1.9.99.26.21</v>
      </c>
      <c r="N186" s="88" t="str">
        <f>VLOOKUP(A186,'1 sem.15'!A:D,3,0)</f>
        <v>RECEITA DE JCP PARTICIPACOES SUBS</v>
      </c>
      <c r="O186" s="88">
        <f>VLOOKUP(A186,'1 sem.15'!A:D,4,0)</f>
        <v>35692463.979999997</v>
      </c>
    </row>
    <row r="187" spans="1:15" s="93" customFormat="1">
      <c r="A187" s="84" t="s">
        <v>241</v>
      </c>
      <c r="B187" s="78">
        <v>-9</v>
      </c>
      <c r="C187" s="78" t="s">
        <v>586</v>
      </c>
      <c r="D187" s="125">
        <f>IFERROR(VLOOKUP($A187,'Balancete 2015'!$A:$D,4,0),"0")+O187</f>
        <v>51410.97</v>
      </c>
      <c r="E187" s="78">
        <v>500</v>
      </c>
      <c r="F187" s="78">
        <v>110</v>
      </c>
      <c r="G187" s="78"/>
      <c r="H187" s="78"/>
      <c r="I187" s="125">
        <f>IFERROR(VLOOKUP($A187,'Balancete 2016'!$A:$D,4,0),"0")</f>
        <v>477379.72</v>
      </c>
      <c r="J187" s="95"/>
      <c r="M187" s="87" t="str">
        <f>+A187</f>
        <v>7.1.9.99.90</v>
      </c>
      <c r="N187" s="161" t="str">
        <f>+C187</f>
        <v>OUTRAS RENDAS OPERACIONAIS - DIVERSOS</v>
      </c>
      <c r="O187" s="161">
        <v>0</v>
      </c>
    </row>
    <row r="188" spans="1:15">
      <c r="A188" s="84" t="s">
        <v>587</v>
      </c>
      <c r="B188" s="78">
        <v>-1</v>
      </c>
      <c r="C188" s="78" t="s">
        <v>588</v>
      </c>
      <c r="D188" s="125">
        <f>IFERROR(VLOOKUP($A188,'Balancete 2015'!$A:$D,4,0),"0")+O188</f>
        <v>0</v>
      </c>
      <c r="E188" s="78"/>
      <c r="F188" s="78"/>
      <c r="G188" s="78"/>
      <c r="H188" s="78"/>
      <c r="I188" s="125">
        <f>IFERROR(VLOOKUP($A188,'Balancete 2016'!$A:$D,4,0),"0")</f>
        <v>516.62</v>
      </c>
      <c r="J188" s="6"/>
      <c r="M188" s="87" t="str">
        <f>+A188</f>
        <v>7.1.9.99.90.66</v>
      </c>
      <c r="N188" s="88" t="str">
        <f>+C188</f>
        <v>RDAS OPS - ATUAL MONET S/ OUT OPERACOES/CAIXAPAR</v>
      </c>
      <c r="O188" s="88">
        <v>0</v>
      </c>
    </row>
    <row r="189" spans="1:15">
      <c r="A189" s="77" t="s">
        <v>919</v>
      </c>
      <c r="B189" s="78">
        <v>-1</v>
      </c>
      <c r="C189" s="78" t="s">
        <v>920</v>
      </c>
      <c r="D189" s="125">
        <f>IFERROR(VLOOKUP($A189,'Balancete 2015'!$A:$D,4,0),"0")+O189</f>
        <v>51410.97</v>
      </c>
      <c r="E189" s="78"/>
      <c r="F189" s="78"/>
      <c r="G189" s="78"/>
      <c r="H189" s="78"/>
      <c r="I189" s="125">
        <f>IFERROR(VLOOKUP($A189,'Balancete 2016'!$A:$D,4,0),"0")</f>
        <v>476863.1</v>
      </c>
      <c r="J189" s="6"/>
      <c r="M189" s="87" t="str">
        <f>+A189</f>
        <v>7.1.9.99.90.67</v>
      </c>
      <c r="N189" s="88" t="str">
        <f>+C189</f>
        <v>OUTRAS RDAS OPERACIONAIS - JUROS S/ MUTUO</v>
      </c>
      <c r="O189" s="88">
        <v>0</v>
      </c>
    </row>
    <row r="190" spans="1:15">
      <c r="A190" s="25"/>
      <c r="J190" s="6"/>
    </row>
    <row r="191" spans="1:15">
      <c r="A191" s="25"/>
      <c r="J191" s="6"/>
    </row>
    <row r="192" spans="1:15">
      <c r="A192" s="25"/>
      <c r="J192" s="6"/>
    </row>
    <row r="193" spans="1:10">
      <c r="A193" s="25"/>
      <c r="J193" s="6"/>
    </row>
    <row r="194" spans="1:10">
      <c r="A194" s="25"/>
      <c r="J194" s="6"/>
    </row>
    <row r="195" spans="1:10">
      <c r="A195" s="25"/>
      <c r="J195" s="6"/>
    </row>
    <row r="196" spans="1:10">
      <c r="A196" s="25"/>
      <c r="J196" s="6"/>
    </row>
    <row r="197" spans="1:10">
      <c r="A197" s="25"/>
      <c r="J197" s="6"/>
    </row>
    <row r="198" spans="1:10">
      <c r="A198" s="25"/>
      <c r="J198" s="6"/>
    </row>
    <row r="199" spans="1:10">
      <c r="A199" s="25"/>
      <c r="J199" s="6"/>
    </row>
    <row r="200" spans="1:10">
      <c r="A200" s="25"/>
      <c r="J200" s="6"/>
    </row>
    <row r="201" spans="1:10">
      <c r="A201" s="25"/>
    </row>
    <row r="202" spans="1:10">
      <c r="A202" s="25"/>
    </row>
    <row r="203" spans="1:10">
      <c r="A203" s="25"/>
    </row>
    <row r="204" spans="1:10">
      <c r="A204" s="25"/>
    </row>
    <row r="205" spans="1:10">
      <c r="A205" s="25"/>
    </row>
    <row r="206" spans="1:10">
      <c r="A206" s="25"/>
    </row>
    <row r="207" spans="1:10">
      <c r="A207" s="25"/>
    </row>
    <row r="208" spans="1:10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7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2">
      <c r="A225" s="25"/>
    </row>
    <row r="226" spans="1:2">
      <c r="A226" s="25"/>
    </row>
    <row r="227" spans="1:2">
      <c r="A227" s="25"/>
    </row>
    <row r="228" spans="1:2">
      <c r="A228" s="25"/>
      <c r="B228" s="28"/>
    </row>
    <row r="229" spans="1:2">
      <c r="A229" s="25"/>
    </row>
    <row r="230" spans="1:2">
      <c r="A230" s="25"/>
    </row>
    <row r="231" spans="1:2">
      <c r="A231" s="25"/>
    </row>
    <row r="232" spans="1:2">
      <c r="A232" s="25"/>
    </row>
    <row r="233" spans="1:2">
      <c r="A233" s="25"/>
    </row>
    <row r="234" spans="1:2">
      <c r="A234" s="25"/>
    </row>
    <row r="235" spans="1:2">
      <c r="A235" s="25"/>
    </row>
    <row r="236" spans="1:2">
      <c r="A236" s="25"/>
    </row>
    <row r="237" spans="1:2">
      <c r="A237" s="25"/>
    </row>
    <row r="238" spans="1:2">
      <c r="A238" s="25"/>
    </row>
    <row r="239" spans="1:2">
      <c r="A239" s="25"/>
    </row>
    <row r="240" spans="1:2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3"/>
  <dimension ref="A1:O35"/>
  <sheetViews>
    <sheetView showGridLines="0" tabSelected="1" zoomScale="90" zoomScaleNormal="90" workbookViewId="0">
      <pane ySplit="2" topLeftCell="A3" activePane="bottomLeft" state="frozen"/>
      <selection activeCell="B3" sqref="B3:E34"/>
      <selection pane="bottomLeft" activeCell="X9" sqref="X9"/>
    </sheetView>
  </sheetViews>
  <sheetFormatPr defaultRowHeight="12"/>
  <cols>
    <col min="1" max="1" width="1.7109375" style="193" customWidth="1"/>
    <col min="2" max="2" width="47.85546875" style="205" customWidth="1"/>
    <col min="3" max="3" width="16" style="206" customWidth="1"/>
    <col min="4" max="5" width="16.7109375" style="206" customWidth="1"/>
    <col min="6" max="6" width="12.85546875" style="206" hidden="1" customWidth="1"/>
    <col min="7" max="7" width="16.7109375" style="206" hidden="1" customWidth="1"/>
    <col min="8" max="9" width="12.85546875" style="206" hidden="1" customWidth="1"/>
    <col min="10" max="11" width="15.7109375" style="194" hidden="1" customWidth="1"/>
    <col min="12" max="12" width="15.85546875" style="194" hidden="1" customWidth="1"/>
    <col min="13" max="14" width="15.7109375" style="194" hidden="1" customWidth="1"/>
    <col min="15" max="15" width="3.42578125" style="193" customWidth="1" collapsed="1"/>
    <col min="16" max="16384" width="9.140625" style="193"/>
  </cols>
  <sheetData>
    <row r="1" spans="1:14" s="196" customFormat="1" ht="15" customHeight="1">
      <c r="A1" s="195"/>
      <c r="B1" s="463" t="s">
        <v>1125</v>
      </c>
      <c r="C1" s="464"/>
      <c r="D1" s="461">
        <v>44286</v>
      </c>
      <c r="E1" s="461">
        <v>44196</v>
      </c>
      <c r="F1" s="461">
        <v>43830</v>
      </c>
      <c r="G1" s="461">
        <v>44104</v>
      </c>
      <c r="H1" s="461">
        <v>44012</v>
      </c>
      <c r="I1" s="461">
        <v>43921</v>
      </c>
      <c r="J1" s="461">
        <v>43738</v>
      </c>
      <c r="K1" s="461">
        <v>43646</v>
      </c>
      <c r="L1" s="461">
        <v>43555</v>
      </c>
      <c r="M1" s="461">
        <v>43465</v>
      </c>
      <c r="N1" s="461">
        <v>43100</v>
      </c>
    </row>
    <row r="2" spans="1:14" s="196" customFormat="1" ht="15" customHeight="1">
      <c r="A2" s="195"/>
      <c r="B2" s="465"/>
      <c r="C2" s="466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</row>
    <row r="3" spans="1:14" ht="20.100000000000001" customHeight="1">
      <c r="A3" s="197"/>
      <c r="B3" s="207" t="s">
        <v>1009</v>
      </c>
      <c r="C3" s="208"/>
      <c r="D3" s="208">
        <f t="shared" ref="D3:I3" si="0">D4+D9</f>
        <v>3144954000</v>
      </c>
      <c r="E3" s="208">
        <f t="shared" si="0"/>
        <v>3127384000</v>
      </c>
      <c r="F3" s="208">
        <f t="shared" si="0"/>
        <v>3747720000</v>
      </c>
      <c r="G3" s="208">
        <f t="shared" si="0"/>
        <v>3447241000</v>
      </c>
      <c r="H3" s="208">
        <f t="shared" si="0"/>
        <v>3530523000</v>
      </c>
      <c r="I3" s="208">
        <f t="shared" si="0"/>
        <v>3758697000</v>
      </c>
      <c r="J3" s="209">
        <f t="shared" ref="J3:N3" si="1">J4+J9</f>
        <v>3773992000</v>
      </c>
      <c r="K3" s="209">
        <f t="shared" si="1"/>
        <v>3394179000</v>
      </c>
      <c r="L3" s="209">
        <f t="shared" si="1"/>
        <v>3325764000</v>
      </c>
      <c r="M3" s="209">
        <f t="shared" si="1"/>
        <v>3350909000</v>
      </c>
      <c r="N3" s="209">
        <f t="shared" si="1"/>
        <v>3730954000</v>
      </c>
    </row>
    <row r="4" spans="1:14" ht="20.100000000000001" customHeight="1">
      <c r="A4" s="197"/>
      <c r="B4" s="207" t="s">
        <v>1126</v>
      </c>
      <c r="C4" s="208"/>
      <c r="D4" s="208">
        <f t="shared" ref="D4:I4" si="2">SUM(D5:D8)</f>
        <v>1293088000</v>
      </c>
      <c r="E4" s="208">
        <f t="shared" si="2"/>
        <v>1292986000</v>
      </c>
      <c r="F4" s="208">
        <f t="shared" si="2"/>
        <v>1316004000</v>
      </c>
      <c r="G4" s="208">
        <f t="shared" si="2"/>
        <v>1341071000</v>
      </c>
      <c r="H4" s="208">
        <f t="shared" si="2"/>
        <v>984553000</v>
      </c>
      <c r="I4" s="208">
        <f t="shared" si="2"/>
        <v>1301679000</v>
      </c>
      <c r="J4" s="210">
        <f t="shared" ref="J4:N4" si="3">SUM(J5:J8)</f>
        <v>1829201000</v>
      </c>
      <c r="K4" s="210">
        <f t="shared" si="3"/>
        <v>1298076000</v>
      </c>
      <c r="L4" s="210">
        <f t="shared" si="3"/>
        <v>1287839000</v>
      </c>
      <c r="M4" s="210">
        <f t="shared" si="3"/>
        <v>1333498000</v>
      </c>
      <c r="N4" s="210">
        <f t="shared" si="3"/>
        <v>1639652000</v>
      </c>
    </row>
    <row r="5" spans="1:14" ht="20.100000000000001" customHeight="1">
      <c r="A5" s="198"/>
      <c r="B5" s="211" t="s">
        <v>1127</v>
      </c>
      <c r="C5" s="212" t="s">
        <v>1297</v>
      </c>
      <c r="D5" s="212">
        <v>5000</v>
      </c>
      <c r="E5" s="212">
        <v>306000</v>
      </c>
      <c r="F5" s="212">
        <v>440514000</v>
      </c>
      <c r="G5" s="212">
        <v>462355000</v>
      </c>
      <c r="H5" s="212">
        <v>460043000</v>
      </c>
      <c r="I5" s="212">
        <v>444925000</v>
      </c>
      <c r="J5" s="213">
        <v>434801000</v>
      </c>
      <c r="K5" s="213">
        <v>446460000</v>
      </c>
      <c r="L5" s="213">
        <v>528131000</v>
      </c>
      <c r="M5" s="213">
        <v>539947000</v>
      </c>
      <c r="N5" s="213">
        <v>636817000</v>
      </c>
    </row>
    <row r="6" spans="1:14" ht="20.100000000000001" customHeight="1">
      <c r="A6" s="197"/>
      <c r="B6" s="211" t="s">
        <v>1233</v>
      </c>
      <c r="C6" s="212" t="s">
        <v>1350</v>
      </c>
      <c r="D6" s="212">
        <v>1229904000</v>
      </c>
      <c r="E6" s="212">
        <v>1181397000</v>
      </c>
      <c r="F6" s="212">
        <v>748026000</v>
      </c>
      <c r="G6" s="212">
        <v>782666000</v>
      </c>
      <c r="H6" s="212">
        <v>413524000</v>
      </c>
      <c r="I6" s="212">
        <v>773068000</v>
      </c>
      <c r="J6" s="213">
        <v>1332291000</v>
      </c>
      <c r="K6" s="213">
        <v>800422000</v>
      </c>
      <c r="L6" s="213">
        <v>691994000</v>
      </c>
      <c r="M6" s="213">
        <v>739586000</v>
      </c>
      <c r="N6" s="213">
        <v>994534000</v>
      </c>
    </row>
    <row r="7" spans="1:14" ht="20.100000000000001" customHeight="1">
      <c r="A7" s="197"/>
      <c r="B7" s="211" t="s">
        <v>1234</v>
      </c>
      <c r="C7" s="212" t="s">
        <v>1299</v>
      </c>
      <c r="D7" s="212">
        <v>27991000</v>
      </c>
      <c r="E7" s="212">
        <v>64165000</v>
      </c>
      <c r="F7" s="212">
        <v>106739000</v>
      </c>
      <c r="G7" s="212">
        <v>50880000</v>
      </c>
      <c r="H7" s="212">
        <v>42764000</v>
      </c>
      <c r="I7" s="212">
        <v>61742000</v>
      </c>
      <c r="J7" s="213">
        <v>44033000</v>
      </c>
      <c r="K7" s="213">
        <v>27497000</v>
      </c>
      <c r="L7" s="213">
        <v>43720000</v>
      </c>
      <c r="M7" s="213">
        <v>31298000</v>
      </c>
      <c r="N7" s="213">
        <v>4540000</v>
      </c>
    </row>
    <row r="8" spans="1:14" ht="20.100000000000001" customHeight="1">
      <c r="A8" s="198"/>
      <c r="B8" s="211" t="s">
        <v>1128</v>
      </c>
      <c r="C8" s="212"/>
      <c r="D8" s="212">
        <v>35188000</v>
      </c>
      <c r="E8" s="212">
        <v>47118000</v>
      </c>
      <c r="F8" s="212">
        <v>20725000</v>
      </c>
      <c r="G8" s="212">
        <v>45170000</v>
      </c>
      <c r="H8" s="212">
        <v>68222000</v>
      </c>
      <c r="I8" s="212">
        <v>21944000</v>
      </c>
      <c r="J8" s="212">
        <v>18076000</v>
      </c>
      <c r="K8" s="212">
        <v>23697000</v>
      </c>
      <c r="L8" s="212">
        <v>23994000</v>
      </c>
      <c r="M8" s="212">
        <v>22667000</v>
      </c>
      <c r="N8" s="212">
        <v>3761000</v>
      </c>
    </row>
    <row r="9" spans="1:14" ht="20.100000000000001" customHeight="1">
      <c r="A9" s="198"/>
      <c r="B9" s="207" t="s">
        <v>1129</v>
      </c>
      <c r="C9" s="208"/>
      <c r="D9" s="208">
        <f>D10+D13+D14</f>
        <v>1851866000</v>
      </c>
      <c r="E9" s="208">
        <f>E10+E13+E14</f>
        <v>1834398000</v>
      </c>
      <c r="F9" s="208">
        <f>F10+F13+F14</f>
        <v>2431716000</v>
      </c>
      <c r="G9" s="208">
        <f>G10+G13+G14</f>
        <v>2106170000</v>
      </c>
      <c r="H9" s="208">
        <f>H10+H13+H14</f>
        <v>2545970000</v>
      </c>
      <c r="I9" s="208">
        <f t="shared" ref="I9:N9" si="4">I10+I13+I14</f>
        <v>2457018000</v>
      </c>
      <c r="J9" s="208">
        <f t="shared" si="4"/>
        <v>1944791000</v>
      </c>
      <c r="K9" s="208">
        <f t="shared" si="4"/>
        <v>2096103000</v>
      </c>
      <c r="L9" s="208">
        <f t="shared" si="4"/>
        <v>2037925000</v>
      </c>
      <c r="M9" s="208">
        <f t="shared" si="4"/>
        <v>2017411000</v>
      </c>
      <c r="N9" s="208">
        <f t="shared" si="4"/>
        <v>2091302000</v>
      </c>
    </row>
    <row r="10" spans="1:14" ht="20.100000000000001" customHeight="1">
      <c r="A10" s="198"/>
      <c r="B10" s="302" t="s">
        <v>1130</v>
      </c>
      <c r="C10" s="303"/>
      <c r="D10" s="303">
        <f>D11+D12</f>
        <v>46324000</v>
      </c>
      <c r="E10" s="303">
        <f>E11+E12</f>
        <v>36033000</v>
      </c>
      <c r="F10" s="303">
        <f t="shared" ref="F10" si="5">F11+F12</f>
        <v>57357000</v>
      </c>
      <c r="G10" s="303">
        <f>G11+G12</f>
        <v>46561000</v>
      </c>
      <c r="H10" s="303">
        <f>H11+H12</f>
        <v>112156000</v>
      </c>
      <c r="I10" s="303">
        <f>I11+I12</f>
        <v>55241000</v>
      </c>
      <c r="J10" s="304">
        <f t="shared" ref="J10:K10" si="6">J11+J12</f>
        <v>53301000</v>
      </c>
      <c r="K10" s="304">
        <f t="shared" si="6"/>
        <v>51926000</v>
      </c>
      <c r="L10" s="304">
        <f t="shared" ref="L10" si="7">L11+L12</f>
        <v>50804000</v>
      </c>
      <c r="M10" s="304">
        <f>M11+M12</f>
        <v>46920000</v>
      </c>
      <c r="N10" s="304">
        <f>N11+N12</f>
        <v>4323000</v>
      </c>
    </row>
    <row r="11" spans="1:14" ht="20.100000000000001" hidden="1" customHeight="1">
      <c r="A11" s="198"/>
      <c r="B11" s="214" t="s">
        <v>1235</v>
      </c>
      <c r="C11" s="212" t="s">
        <v>1298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3">
        <v>7279000</v>
      </c>
      <c r="K11" s="213">
        <v>7168000</v>
      </c>
      <c r="L11" s="213">
        <v>7059000</v>
      </c>
      <c r="M11" s="213">
        <v>4539000</v>
      </c>
      <c r="N11" s="213">
        <v>4265000</v>
      </c>
    </row>
    <row r="12" spans="1:14" ht="20.100000000000001" customHeight="1" collapsed="1">
      <c r="A12" s="198"/>
      <c r="B12" s="215" t="s">
        <v>1326</v>
      </c>
      <c r="C12" s="212" t="s">
        <v>1332</v>
      </c>
      <c r="D12" s="306">
        <v>46324000</v>
      </c>
      <c r="E12" s="306">
        <v>36033000</v>
      </c>
      <c r="F12" s="212">
        <v>57357000</v>
      </c>
      <c r="G12" s="306">
        <v>46561000</v>
      </c>
      <c r="H12" s="306">
        <v>112156000</v>
      </c>
      <c r="I12" s="306">
        <v>55241000</v>
      </c>
      <c r="J12" s="212">
        <v>46022000</v>
      </c>
      <c r="K12" s="212">
        <v>44758000</v>
      </c>
      <c r="L12" s="212">
        <v>43745000</v>
      </c>
      <c r="M12" s="212">
        <v>42381000</v>
      </c>
      <c r="N12" s="212">
        <v>58000</v>
      </c>
    </row>
    <row r="13" spans="1:14" ht="20.100000000000001" customHeight="1">
      <c r="A13" s="197"/>
      <c r="B13" s="305" t="s">
        <v>1117</v>
      </c>
      <c r="C13" s="212" t="s">
        <v>1229</v>
      </c>
      <c r="D13" s="306">
        <v>1805542000</v>
      </c>
      <c r="E13" s="306">
        <v>1798365000</v>
      </c>
      <c r="F13" s="306">
        <v>2374359000</v>
      </c>
      <c r="G13" s="306">
        <v>2059609000</v>
      </c>
      <c r="H13" s="306">
        <v>2433814000</v>
      </c>
      <c r="I13" s="306">
        <v>2401777000</v>
      </c>
      <c r="J13" s="304">
        <v>1891490000</v>
      </c>
      <c r="K13" s="304">
        <v>2044177000</v>
      </c>
      <c r="L13" s="304">
        <v>1987121000</v>
      </c>
      <c r="M13" s="304">
        <v>1970491000</v>
      </c>
      <c r="N13" s="304">
        <v>2086979000</v>
      </c>
    </row>
    <row r="14" spans="1:14" ht="20.100000000000001" hidden="1" customHeight="1">
      <c r="A14" s="197"/>
      <c r="B14" s="220" t="s">
        <v>1339</v>
      </c>
      <c r="C14" s="212"/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</row>
    <row r="15" spans="1:14" ht="20.100000000000001" customHeight="1" collapsed="1">
      <c r="A15" s="197"/>
      <c r="B15" s="217" t="s">
        <v>1131</v>
      </c>
      <c r="C15" s="212"/>
      <c r="D15" s="218">
        <f t="shared" ref="D15:I15" si="8">D16+D23+D25</f>
        <v>3144954000</v>
      </c>
      <c r="E15" s="218">
        <f t="shared" si="8"/>
        <v>3127384000</v>
      </c>
      <c r="F15" s="218">
        <f t="shared" si="8"/>
        <v>3747720000</v>
      </c>
      <c r="G15" s="218">
        <f t="shared" si="8"/>
        <v>3447241000</v>
      </c>
      <c r="H15" s="218">
        <f t="shared" si="8"/>
        <v>3530523000</v>
      </c>
      <c r="I15" s="218">
        <f t="shared" si="8"/>
        <v>3758697000</v>
      </c>
      <c r="J15" s="210">
        <f t="shared" ref="J15:N15" si="9">J16+J23+J25</f>
        <v>3773992000</v>
      </c>
      <c r="K15" s="210">
        <f t="shared" si="9"/>
        <v>3394179000</v>
      </c>
      <c r="L15" s="210">
        <f t="shared" si="9"/>
        <v>3325764000</v>
      </c>
      <c r="M15" s="210">
        <f t="shared" si="9"/>
        <v>3350909000</v>
      </c>
      <c r="N15" s="210">
        <f t="shared" si="9"/>
        <v>3730954000</v>
      </c>
    </row>
    <row r="16" spans="1:14" ht="20.100000000000001" customHeight="1">
      <c r="A16" s="197"/>
      <c r="B16" s="307" t="s">
        <v>1132</v>
      </c>
      <c r="C16" s="212"/>
      <c r="D16" s="390">
        <f>SUM(D17:D22)</f>
        <v>448992000</v>
      </c>
      <c r="E16" s="390">
        <f>SUM(E17:E22)</f>
        <v>438112000</v>
      </c>
      <c r="F16" s="390">
        <f>SUM(F17:F22)</f>
        <v>299414000</v>
      </c>
      <c r="G16" s="390">
        <f>SUM(G17:G22)</f>
        <v>160360000</v>
      </c>
      <c r="H16" s="390">
        <f>SUM(H17:H22)</f>
        <v>159766000</v>
      </c>
      <c r="I16" s="390">
        <f t="shared" ref="I16:N16" si="10">SUM(I17:I22)</f>
        <v>294989000</v>
      </c>
      <c r="J16" s="390">
        <f t="shared" si="10"/>
        <v>330780000</v>
      </c>
      <c r="K16" s="390">
        <f t="shared" si="10"/>
        <v>249486000</v>
      </c>
      <c r="L16" s="390">
        <f t="shared" si="10"/>
        <v>241398000</v>
      </c>
      <c r="M16" s="390">
        <f t="shared" si="10"/>
        <v>293950000</v>
      </c>
      <c r="N16" s="390">
        <f t="shared" si="10"/>
        <v>28306000</v>
      </c>
    </row>
    <row r="17" spans="1:14" ht="20.100000000000001" hidden="1" customHeight="1">
      <c r="A17" s="197"/>
      <c r="B17" s="219" t="s">
        <v>1340</v>
      </c>
      <c r="C17" s="212"/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</row>
    <row r="18" spans="1:14" ht="20.100000000000001" customHeight="1" collapsed="1">
      <c r="A18" s="197"/>
      <c r="B18" s="219" t="s">
        <v>1133</v>
      </c>
      <c r="C18" s="212" t="s">
        <v>1324</v>
      </c>
      <c r="D18" s="216">
        <v>286000</v>
      </c>
      <c r="E18" s="216">
        <v>11556000</v>
      </c>
      <c r="F18" s="216">
        <v>526000</v>
      </c>
      <c r="G18" s="216">
        <v>279000</v>
      </c>
      <c r="H18" s="216">
        <v>356000</v>
      </c>
      <c r="I18" s="216">
        <v>220000</v>
      </c>
      <c r="J18" s="213">
        <v>68877000</v>
      </c>
      <c r="K18" s="213">
        <v>5378000</v>
      </c>
      <c r="L18" s="213">
        <v>3904000</v>
      </c>
      <c r="M18" s="213">
        <v>61852000</v>
      </c>
      <c r="N18" s="213">
        <v>5107000</v>
      </c>
    </row>
    <row r="19" spans="1:14" ht="20.100000000000001" customHeight="1">
      <c r="A19" s="197"/>
      <c r="B19" s="220" t="s">
        <v>1134</v>
      </c>
      <c r="C19" s="212" t="s">
        <v>1381</v>
      </c>
      <c r="D19" s="216">
        <v>328569000</v>
      </c>
      <c r="E19" s="216">
        <v>327685000</v>
      </c>
      <c r="F19" s="216">
        <v>158016000</v>
      </c>
      <c r="G19" s="216">
        <v>22300000</v>
      </c>
      <c r="H19" s="216">
        <v>19353000</v>
      </c>
      <c r="I19" s="216">
        <v>158165000</v>
      </c>
      <c r="J19" s="213">
        <v>125844000</v>
      </c>
      <c r="K19" s="213">
        <v>113985000</v>
      </c>
      <c r="L19" s="213">
        <v>110265000</v>
      </c>
      <c r="M19" s="213">
        <v>108852000</v>
      </c>
      <c r="N19" s="213">
        <v>22415000</v>
      </c>
    </row>
    <row r="20" spans="1:14" ht="20.100000000000001" customHeight="1">
      <c r="A20" s="197"/>
      <c r="B20" s="220" t="s">
        <v>1275</v>
      </c>
      <c r="C20" s="212" t="s">
        <v>1302</v>
      </c>
      <c r="D20" s="216">
        <v>0</v>
      </c>
      <c r="E20" s="216">
        <v>77456000</v>
      </c>
      <c r="F20" s="216">
        <v>123005000</v>
      </c>
      <c r="G20" s="216">
        <v>122457000</v>
      </c>
      <c r="H20" s="216">
        <v>127324000</v>
      </c>
      <c r="I20" s="216">
        <v>125477000</v>
      </c>
      <c r="J20" s="213">
        <v>119277000</v>
      </c>
      <c r="K20" s="213">
        <v>116772000</v>
      </c>
      <c r="L20" s="213">
        <v>114153000</v>
      </c>
      <c r="M20" s="213">
        <v>111305000</v>
      </c>
      <c r="N20" s="213">
        <v>0</v>
      </c>
    </row>
    <row r="21" spans="1:14" ht="20.100000000000001" hidden="1" customHeight="1">
      <c r="A21" s="197"/>
      <c r="B21" s="220" t="s">
        <v>1276</v>
      </c>
      <c r="C21" s="212"/>
      <c r="D21" s="216">
        <v>0</v>
      </c>
      <c r="E21" s="216">
        <v>0</v>
      </c>
      <c r="F21" s="216">
        <v>1000</v>
      </c>
      <c r="G21" s="216">
        <v>0</v>
      </c>
      <c r="H21" s="216">
        <v>0</v>
      </c>
      <c r="I21" s="216">
        <v>0</v>
      </c>
      <c r="J21" s="213">
        <v>0</v>
      </c>
      <c r="K21" s="213">
        <v>1000</v>
      </c>
      <c r="L21" s="213">
        <v>47000</v>
      </c>
      <c r="M21" s="213">
        <v>49000</v>
      </c>
      <c r="N21" s="213">
        <v>0</v>
      </c>
    </row>
    <row r="22" spans="1:14" ht="20.100000000000001" customHeight="1" collapsed="1">
      <c r="A22" s="197"/>
      <c r="B22" s="219" t="s">
        <v>1135</v>
      </c>
      <c r="C22" s="212" t="s">
        <v>1325</v>
      </c>
      <c r="D22" s="221">
        <v>120137000</v>
      </c>
      <c r="E22" s="221">
        <v>21415000</v>
      </c>
      <c r="F22" s="221">
        <v>17866000</v>
      </c>
      <c r="G22" s="221">
        <v>15324000</v>
      </c>
      <c r="H22" s="221">
        <v>12733000</v>
      </c>
      <c r="I22" s="221">
        <v>11127000</v>
      </c>
      <c r="J22" s="213">
        <v>16782000</v>
      </c>
      <c r="K22" s="213">
        <v>13350000</v>
      </c>
      <c r="L22" s="213">
        <v>13029000</v>
      </c>
      <c r="M22" s="213">
        <v>11892000</v>
      </c>
      <c r="N22" s="213">
        <v>784000</v>
      </c>
    </row>
    <row r="23" spans="1:14" ht="20.100000000000001" customHeight="1">
      <c r="A23" s="197"/>
      <c r="B23" s="307" t="s">
        <v>1136</v>
      </c>
      <c r="C23" s="212"/>
      <c r="D23" s="390">
        <f t="shared" ref="D23:N23" si="11">D24</f>
        <v>24981000</v>
      </c>
      <c r="E23" s="390">
        <f t="shared" si="11"/>
        <v>39489000</v>
      </c>
      <c r="F23" s="390">
        <f>F24</f>
        <v>44186000</v>
      </c>
      <c r="G23" s="390">
        <f t="shared" si="11"/>
        <v>37375000</v>
      </c>
      <c r="H23" s="390">
        <f>H24</f>
        <v>33878000</v>
      </c>
      <c r="I23" s="390">
        <f t="shared" si="11"/>
        <v>26140000</v>
      </c>
      <c r="J23" s="308">
        <f t="shared" si="11"/>
        <v>34629000</v>
      </c>
      <c r="K23" s="308">
        <f t="shared" si="11"/>
        <v>27982000</v>
      </c>
      <c r="L23" s="308">
        <f t="shared" si="11"/>
        <v>33337000</v>
      </c>
      <c r="M23" s="308">
        <f t="shared" si="11"/>
        <v>28387000</v>
      </c>
      <c r="N23" s="308">
        <f t="shared" si="11"/>
        <v>266453000</v>
      </c>
    </row>
    <row r="24" spans="1:14" ht="20.100000000000001" customHeight="1">
      <c r="A24" s="197"/>
      <c r="B24" s="219" t="s">
        <v>1231</v>
      </c>
      <c r="C24" s="212" t="s">
        <v>1332</v>
      </c>
      <c r="D24" s="216">
        <v>24981000</v>
      </c>
      <c r="E24" s="216">
        <v>39489000</v>
      </c>
      <c r="F24" s="216">
        <v>44186000</v>
      </c>
      <c r="G24" s="216">
        <v>37375000</v>
      </c>
      <c r="H24" s="216">
        <v>33878000</v>
      </c>
      <c r="I24" s="216">
        <v>26140000</v>
      </c>
      <c r="J24" s="213">
        <v>34629000</v>
      </c>
      <c r="K24" s="213">
        <v>27982000</v>
      </c>
      <c r="L24" s="213">
        <v>33337000</v>
      </c>
      <c r="M24" s="213">
        <v>28387000</v>
      </c>
      <c r="N24" s="213">
        <v>266453000</v>
      </c>
    </row>
    <row r="25" spans="1:14" ht="20.100000000000001" customHeight="1">
      <c r="A25" s="197"/>
      <c r="B25" s="307" t="s">
        <v>1002</v>
      </c>
      <c r="C25" s="212" t="s">
        <v>1300</v>
      </c>
      <c r="D25" s="390">
        <f t="shared" ref="D25:I25" si="12">SUM(D26:D30)</f>
        <v>2670981000</v>
      </c>
      <c r="E25" s="390">
        <f t="shared" si="12"/>
        <v>2649783000</v>
      </c>
      <c r="F25" s="390">
        <f t="shared" si="12"/>
        <v>3404120000</v>
      </c>
      <c r="G25" s="390">
        <f t="shared" si="12"/>
        <v>3249506000</v>
      </c>
      <c r="H25" s="390">
        <f t="shared" si="12"/>
        <v>3336879000</v>
      </c>
      <c r="I25" s="390">
        <f t="shared" si="12"/>
        <v>3437568000</v>
      </c>
      <c r="J25" s="308">
        <f t="shared" ref="J25:N25" si="13">SUM(J26:J30)</f>
        <v>3408583000</v>
      </c>
      <c r="K25" s="308">
        <f t="shared" si="13"/>
        <v>3116711000</v>
      </c>
      <c r="L25" s="308">
        <f t="shared" si="13"/>
        <v>3051029000</v>
      </c>
      <c r="M25" s="308">
        <f t="shared" si="13"/>
        <v>3028572000</v>
      </c>
      <c r="N25" s="308">
        <f t="shared" si="13"/>
        <v>3436195000</v>
      </c>
    </row>
    <row r="26" spans="1:14" ht="20.100000000000001" customHeight="1">
      <c r="A26" s="197"/>
      <c r="B26" s="219" t="s">
        <v>256</v>
      </c>
      <c r="C26" s="212"/>
      <c r="D26" s="221">
        <v>2123409000</v>
      </c>
      <c r="E26" s="221">
        <v>2123409000</v>
      </c>
      <c r="F26" s="221">
        <v>2854884000</v>
      </c>
      <c r="G26" s="221">
        <v>2471417000</v>
      </c>
      <c r="H26" s="221">
        <v>2854864000</v>
      </c>
      <c r="I26" s="221">
        <v>2854884000</v>
      </c>
      <c r="J26" s="213">
        <v>2854884000</v>
      </c>
      <c r="K26" s="213">
        <v>2854884000</v>
      </c>
      <c r="L26" s="213">
        <v>2821931000</v>
      </c>
      <c r="M26" s="213">
        <v>2821931000</v>
      </c>
      <c r="N26" s="213">
        <v>2903636000</v>
      </c>
    </row>
    <row r="27" spans="1:14" ht="20.100000000000001" customHeight="1">
      <c r="A27" s="197"/>
      <c r="B27" s="220" t="s">
        <v>607</v>
      </c>
      <c r="C27" s="212"/>
      <c r="D27" s="216">
        <v>174834000</v>
      </c>
      <c r="E27" s="216">
        <v>174834000</v>
      </c>
      <c r="F27" s="216">
        <v>142972000</v>
      </c>
      <c r="G27" s="216">
        <v>142972000</v>
      </c>
      <c r="H27" s="216">
        <v>142972000</v>
      </c>
      <c r="I27" s="216">
        <v>142972000</v>
      </c>
      <c r="J27" s="213">
        <v>123680000</v>
      </c>
      <c r="K27" s="213">
        <v>123680000</v>
      </c>
      <c r="L27" s="213">
        <v>345743000</v>
      </c>
      <c r="M27" s="213">
        <v>345743000</v>
      </c>
      <c r="N27" s="213">
        <v>143363000</v>
      </c>
    </row>
    <row r="28" spans="1:14" ht="20.100000000000001" customHeight="1">
      <c r="A28" s="197"/>
      <c r="B28" s="211" t="s">
        <v>1282</v>
      </c>
      <c r="C28" s="212"/>
      <c r="D28" s="212">
        <v>302687000</v>
      </c>
      <c r="E28" s="212">
        <v>302687000</v>
      </c>
      <c r="F28" s="212">
        <v>274914000</v>
      </c>
      <c r="G28" s="212">
        <v>0</v>
      </c>
      <c r="H28" s="212">
        <v>0</v>
      </c>
      <c r="I28" s="212">
        <v>274914000</v>
      </c>
      <c r="J28" s="213">
        <v>189110000</v>
      </c>
      <c r="K28" s="213">
        <v>189110000</v>
      </c>
      <c r="L28" s="213">
        <v>0</v>
      </c>
      <c r="M28" s="213">
        <v>0</v>
      </c>
      <c r="N28" s="213">
        <v>0</v>
      </c>
    </row>
    <row r="29" spans="1:14" ht="20.100000000000001" customHeight="1">
      <c r="A29" s="197"/>
      <c r="B29" s="211" t="s">
        <v>1118</v>
      </c>
      <c r="C29" s="212"/>
      <c r="D29" s="212">
        <v>49047000</v>
      </c>
      <c r="E29" s="212">
        <v>48853000</v>
      </c>
      <c r="F29" s="212">
        <v>131350000</v>
      </c>
      <c r="G29" s="212">
        <v>50251000</v>
      </c>
      <c r="H29" s="212">
        <v>76868000</v>
      </c>
      <c r="I29" s="212">
        <v>128598000</v>
      </c>
      <c r="J29" s="213">
        <v>-36136000</v>
      </c>
      <c r="K29" s="213">
        <v>-140580000</v>
      </c>
      <c r="L29" s="213">
        <v>-140565000</v>
      </c>
      <c r="M29" s="213">
        <v>-139102000</v>
      </c>
      <c r="N29" s="213">
        <v>389196000</v>
      </c>
    </row>
    <row r="30" spans="1:14" ht="20.100000000000001" customHeight="1">
      <c r="A30" s="197"/>
      <c r="B30" s="211" t="s">
        <v>1236</v>
      </c>
      <c r="C30" s="212"/>
      <c r="D30" s="212">
        <v>21004000</v>
      </c>
      <c r="E30" s="212">
        <v>0</v>
      </c>
      <c r="F30" s="212">
        <v>0</v>
      </c>
      <c r="G30" s="212">
        <v>584866000</v>
      </c>
      <c r="H30" s="212">
        <v>262175000</v>
      </c>
      <c r="I30" s="212">
        <v>36200000</v>
      </c>
      <c r="J30" s="213">
        <v>277045000</v>
      </c>
      <c r="K30" s="213">
        <v>89617000</v>
      </c>
      <c r="L30" s="213">
        <v>23920000</v>
      </c>
      <c r="M30" s="213">
        <v>0</v>
      </c>
      <c r="N30" s="213">
        <v>0</v>
      </c>
    </row>
    <row r="31" spans="1:14" ht="20.100000000000001" customHeight="1">
      <c r="A31" s="197"/>
      <c r="B31" s="317" t="s">
        <v>1287</v>
      </c>
      <c r="C31" s="221"/>
      <c r="D31" s="318">
        <v>21004000</v>
      </c>
      <c r="E31" s="318">
        <v>658070000</v>
      </c>
      <c r="F31" s="318">
        <v>387173000</v>
      </c>
      <c r="G31" s="318">
        <v>589997000</v>
      </c>
      <c r="H31" s="318">
        <v>265894000</v>
      </c>
      <c r="I31" s="318">
        <v>37330000</v>
      </c>
      <c r="J31" s="318">
        <v>276609000</v>
      </c>
      <c r="K31" s="318">
        <v>88285000</v>
      </c>
      <c r="L31" s="318">
        <v>21654000</v>
      </c>
      <c r="M31" s="318">
        <v>0</v>
      </c>
      <c r="N31" s="318">
        <v>0</v>
      </c>
    </row>
    <row r="32" spans="1:14" ht="15" customHeight="1">
      <c r="A32" s="197"/>
      <c r="B32" s="421" t="s">
        <v>1359</v>
      </c>
      <c r="C32" s="319"/>
      <c r="D32" s="395"/>
      <c r="E32" s="395"/>
      <c r="F32" s="319"/>
      <c r="G32" s="395"/>
      <c r="H32" s="395"/>
      <c r="I32" s="395"/>
      <c r="J32" s="320"/>
      <c r="K32" s="320"/>
      <c r="L32" s="320"/>
      <c r="M32" s="387"/>
      <c r="N32" s="320"/>
    </row>
    <row r="33" spans="1:14" ht="15" customHeight="1">
      <c r="A33" s="197"/>
      <c r="D33" s="407"/>
      <c r="E33" s="407"/>
      <c r="F33" s="407"/>
    </row>
    <row r="34" spans="1:14" ht="15" customHeight="1">
      <c r="A34" s="199"/>
    </row>
    <row r="35" spans="1:14" s="200" customFormat="1">
      <c r="B35" s="204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</row>
  </sheetData>
  <mergeCells count="12">
    <mergeCell ref="N1:N2"/>
    <mergeCell ref="F1:F2"/>
    <mergeCell ref="I1:I2"/>
    <mergeCell ref="B1:C2"/>
    <mergeCell ref="M1:M2"/>
    <mergeCell ref="L1:L2"/>
    <mergeCell ref="K1:K2"/>
    <mergeCell ref="J1:J2"/>
    <mergeCell ref="H1:H2"/>
    <mergeCell ref="G1:G2"/>
    <mergeCell ref="E1:E2"/>
    <mergeCell ref="D1:D2"/>
  </mergeCells>
  <phoneticPr fontId="33" type="noConversion"/>
  <conditionalFormatting sqref="B26:B27 B29:C29 C30:C31 H9:N9 H16:N16 H31:I31 H3:H30 F3:F31 H1 F1">
    <cfRule type="cellIs" dxfId="641" priority="1834" operator="lessThan">
      <formula>0</formula>
    </cfRule>
  </conditionalFormatting>
  <conditionalFormatting sqref="C7:C8">
    <cfRule type="cellIs" dxfId="640" priority="1579" operator="lessThan">
      <formula>0</formula>
    </cfRule>
  </conditionalFormatting>
  <conditionalFormatting sqref="C6">
    <cfRule type="cellIs" dxfId="639" priority="1580" operator="lessThan">
      <formula>0</formula>
    </cfRule>
  </conditionalFormatting>
  <conditionalFormatting sqref="M1">
    <cfRule type="cellIs" dxfId="638" priority="1405" operator="lessThan">
      <formula>0</formula>
    </cfRule>
  </conditionalFormatting>
  <conditionalFormatting sqref="C9 C3:C5">
    <cfRule type="cellIs" dxfId="637" priority="1581" operator="lessThan">
      <formula>0</formula>
    </cfRule>
  </conditionalFormatting>
  <conditionalFormatting sqref="C7:C8">
    <cfRule type="cellIs" dxfId="636" priority="1578" operator="lessThan">
      <formula>0</formula>
    </cfRule>
  </conditionalFormatting>
  <conditionalFormatting sqref="C7">
    <cfRule type="cellIs" dxfId="635" priority="1577" operator="lessThan">
      <formula>0</formula>
    </cfRule>
  </conditionalFormatting>
  <conditionalFormatting sqref="C8">
    <cfRule type="cellIs" dxfId="634" priority="1576" operator="lessThan">
      <formula>0</formula>
    </cfRule>
  </conditionalFormatting>
  <conditionalFormatting sqref="C10:C11">
    <cfRule type="cellIs" dxfId="633" priority="1575" operator="lessThan">
      <formula>0</formula>
    </cfRule>
  </conditionalFormatting>
  <conditionalFormatting sqref="C10:C11">
    <cfRule type="cellIs" dxfId="632" priority="1574" operator="lessThan">
      <formula>0</formula>
    </cfRule>
  </conditionalFormatting>
  <conditionalFormatting sqref="C10:C11">
    <cfRule type="cellIs" dxfId="631" priority="1573" operator="lessThan">
      <formula>0</formula>
    </cfRule>
  </conditionalFormatting>
  <conditionalFormatting sqref="B8">
    <cfRule type="cellIs" dxfId="630" priority="1541" operator="lessThan">
      <formula>0</formula>
    </cfRule>
  </conditionalFormatting>
  <conditionalFormatting sqref="B24 B18:B19 B10:B11 B13 B22">
    <cfRule type="cellIs" dxfId="629" priority="1540" operator="lessThan">
      <formula>0</formula>
    </cfRule>
  </conditionalFormatting>
  <conditionalFormatting sqref="B15">
    <cfRule type="cellIs" dxfId="628" priority="1548" operator="lessThan">
      <formula>0</formula>
    </cfRule>
  </conditionalFormatting>
  <conditionalFormatting sqref="B25">
    <cfRule type="cellIs" dxfId="627" priority="1547" operator="lessThan">
      <formula>0</formula>
    </cfRule>
  </conditionalFormatting>
  <conditionalFormatting sqref="B9 B3:B5">
    <cfRule type="cellIs" dxfId="626" priority="1546" operator="lessThan">
      <formula>0</formula>
    </cfRule>
  </conditionalFormatting>
  <conditionalFormatting sqref="B16">
    <cfRule type="cellIs" dxfId="625" priority="1537" operator="lessThan">
      <formula>0</formula>
    </cfRule>
  </conditionalFormatting>
  <conditionalFormatting sqref="B16">
    <cfRule type="cellIs" dxfId="624" priority="1536" operator="lessThan">
      <formula>0</formula>
    </cfRule>
  </conditionalFormatting>
  <conditionalFormatting sqref="B24 B18:B19 B10:B11 B13 B22">
    <cfRule type="cellIs" dxfId="623" priority="1539" operator="lessThan">
      <formula>0</formula>
    </cfRule>
  </conditionalFormatting>
  <conditionalFormatting sqref="B7:B8">
    <cfRule type="cellIs" dxfId="622" priority="1544" operator="lessThan">
      <formula>0</formula>
    </cfRule>
  </conditionalFormatting>
  <conditionalFormatting sqref="B6">
    <cfRule type="cellIs" dxfId="621" priority="1545" operator="lessThan">
      <formula>0</formula>
    </cfRule>
  </conditionalFormatting>
  <conditionalFormatting sqref="B7:B8">
    <cfRule type="cellIs" dxfId="620" priority="1543" operator="lessThan">
      <formula>0</formula>
    </cfRule>
  </conditionalFormatting>
  <conditionalFormatting sqref="B7">
    <cfRule type="cellIs" dxfId="619" priority="1542" operator="lessThan">
      <formula>0</formula>
    </cfRule>
  </conditionalFormatting>
  <conditionalFormatting sqref="B24 B18:B19 B10:B11 B13 B22">
    <cfRule type="cellIs" dxfId="618" priority="1538" operator="lessThan">
      <formula>0</formula>
    </cfRule>
  </conditionalFormatting>
  <conditionalFormatting sqref="B16">
    <cfRule type="cellIs" dxfId="617" priority="1534" operator="lessThan">
      <formula>0</formula>
    </cfRule>
  </conditionalFormatting>
  <conditionalFormatting sqref="B16">
    <cfRule type="cellIs" dxfId="616" priority="1533" operator="lessThan">
      <formula>0</formula>
    </cfRule>
  </conditionalFormatting>
  <conditionalFormatting sqref="B19">
    <cfRule type="cellIs" dxfId="615" priority="1532" operator="lessThan">
      <formula>0</formula>
    </cfRule>
  </conditionalFormatting>
  <conditionalFormatting sqref="B19">
    <cfRule type="cellIs" dxfId="614" priority="1531" operator="lessThan">
      <formula>0</formula>
    </cfRule>
  </conditionalFormatting>
  <conditionalFormatting sqref="B19">
    <cfRule type="cellIs" dxfId="613" priority="1530" operator="lessThan">
      <formula>0</formula>
    </cfRule>
  </conditionalFormatting>
  <conditionalFormatting sqref="B23">
    <cfRule type="cellIs" dxfId="612" priority="1517" operator="lessThan">
      <formula>0</formula>
    </cfRule>
  </conditionalFormatting>
  <conditionalFormatting sqref="B12">
    <cfRule type="cellIs" dxfId="611" priority="1322" operator="lessThan">
      <formula>0</formula>
    </cfRule>
  </conditionalFormatting>
  <conditionalFormatting sqref="B12">
    <cfRule type="cellIs" dxfId="610" priority="1321" operator="lessThan">
      <formula>0</formula>
    </cfRule>
  </conditionalFormatting>
  <conditionalFormatting sqref="B12">
    <cfRule type="cellIs" dxfId="609" priority="1320" operator="lessThan">
      <formula>0</formula>
    </cfRule>
  </conditionalFormatting>
  <conditionalFormatting sqref="B20">
    <cfRule type="cellIs" dxfId="608" priority="1108" operator="lessThan">
      <formula>0</formula>
    </cfRule>
  </conditionalFormatting>
  <conditionalFormatting sqref="B20">
    <cfRule type="cellIs" dxfId="607" priority="1107" operator="lessThan">
      <formula>0</formula>
    </cfRule>
  </conditionalFormatting>
  <conditionalFormatting sqref="B20">
    <cfRule type="cellIs" dxfId="606" priority="1106" operator="lessThan">
      <formula>0</formula>
    </cfRule>
  </conditionalFormatting>
  <conditionalFormatting sqref="B20">
    <cfRule type="cellIs" dxfId="605" priority="1105" operator="lessThan">
      <formula>0</formula>
    </cfRule>
  </conditionalFormatting>
  <conditionalFormatting sqref="B20">
    <cfRule type="cellIs" dxfId="604" priority="1104" operator="lessThan">
      <formula>0</formula>
    </cfRule>
  </conditionalFormatting>
  <conditionalFormatting sqref="B20">
    <cfRule type="cellIs" dxfId="603" priority="1103" operator="lessThan">
      <formula>0</formula>
    </cfRule>
  </conditionalFormatting>
  <conditionalFormatting sqref="B21">
    <cfRule type="cellIs" dxfId="602" priority="1049" operator="lessThan">
      <formula>0</formula>
    </cfRule>
  </conditionalFormatting>
  <conditionalFormatting sqref="B21">
    <cfRule type="cellIs" dxfId="601" priority="1048" operator="lessThan">
      <formula>0</formula>
    </cfRule>
  </conditionalFormatting>
  <conditionalFormatting sqref="B21">
    <cfRule type="cellIs" dxfId="600" priority="1047" operator="lessThan">
      <formula>0</formula>
    </cfRule>
  </conditionalFormatting>
  <conditionalFormatting sqref="B21">
    <cfRule type="cellIs" dxfId="599" priority="1046" operator="lessThan">
      <formula>0</formula>
    </cfRule>
  </conditionalFormatting>
  <conditionalFormatting sqref="B21">
    <cfRule type="cellIs" dxfId="598" priority="1045" operator="lessThan">
      <formula>0</formula>
    </cfRule>
  </conditionalFormatting>
  <conditionalFormatting sqref="B21">
    <cfRule type="cellIs" dxfId="597" priority="1044" operator="lessThan">
      <formula>0</formula>
    </cfRule>
  </conditionalFormatting>
  <conditionalFormatting sqref="M4 L9:M9">
    <cfRule type="cellIs" dxfId="596" priority="730" operator="lessThan">
      <formula>0</formula>
    </cfRule>
  </conditionalFormatting>
  <conditionalFormatting sqref="L10:M10">
    <cfRule type="cellIs" dxfId="595" priority="722" operator="lessThan">
      <formula>0</formula>
    </cfRule>
  </conditionalFormatting>
  <conditionalFormatting sqref="L10:M10">
    <cfRule type="cellIs" dxfId="594" priority="724" operator="lessThan">
      <formula>0</formula>
    </cfRule>
  </conditionalFormatting>
  <conditionalFormatting sqref="L10:M10">
    <cfRule type="cellIs" dxfId="593" priority="723" operator="lessThan">
      <formula>0</formula>
    </cfRule>
  </conditionalFormatting>
  <conditionalFormatting sqref="L1">
    <cfRule type="cellIs" dxfId="592" priority="684" operator="lessThan">
      <formula>0</formula>
    </cfRule>
  </conditionalFormatting>
  <conditionalFormatting sqref="K1">
    <cfRule type="cellIs" dxfId="591" priority="669" operator="lessThan">
      <formula>0</formula>
    </cfRule>
  </conditionalFormatting>
  <conditionalFormatting sqref="B28:C28">
    <cfRule type="cellIs" dxfId="590" priority="658" operator="lessThan">
      <formula>0</formula>
    </cfRule>
  </conditionalFormatting>
  <conditionalFormatting sqref="B30">
    <cfRule type="cellIs" dxfId="589" priority="656" operator="lessThan">
      <formula>0</formula>
    </cfRule>
  </conditionalFormatting>
  <conditionalFormatting sqref="B31">
    <cfRule type="cellIs" dxfId="588" priority="654" operator="lessThan">
      <formula>0</formula>
    </cfRule>
  </conditionalFormatting>
  <conditionalFormatting sqref="J1">
    <cfRule type="cellIs" dxfId="587" priority="631" operator="lessThan">
      <formula>0</formula>
    </cfRule>
  </conditionalFormatting>
  <conditionalFormatting sqref="L10:L11 L13">
    <cfRule type="cellIs" dxfId="586" priority="591" operator="lessThan">
      <formula>0</formula>
    </cfRule>
  </conditionalFormatting>
  <conditionalFormatting sqref="L10:L11 L13">
    <cfRule type="cellIs" dxfId="585" priority="590" operator="lessThan">
      <formula>0</formula>
    </cfRule>
  </conditionalFormatting>
  <conditionalFormatting sqref="L10:L11 L13">
    <cfRule type="cellIs" dxfId="584" priority="589" operator="lessThan">
      <formula>0</formula>
    </cfRule>
  </conditionalFormatting>
  <conditionalFormatting sqref="L18:L20 L22">
    <cfRule type="cellIs" dxfId="583" priority="588" operator="lessThan">
      <formula>0</formula>
    </cfRule>
  </conditionalFormatting>
  <conditionalFormatting sqref="L18:L20 L22">
    <cfRule type="cellIs" dxfId="582" priority="587" operator="lessThan">
      <formula>0</formula>
    </cfRule>
  </conditionalFormatting>
  <conditionalFormatting sqref="L18:L20 L22">
    <cfRule type="cellIs" dxfId="581" priority="586" operator="lessThan">
      <formula>0</formula>
    </cfRule>
  </conditionalFormatting>
  <conditionalFormatting sqref="L24">
    <cfRule type="cellIs" dxfId="580" priority="585" operator="lessThan">
      <formula>0</formula>
    </cfRule>
  </conditionalFormatting>
  <conditionalFormatting sqref="L24">
    <cfRule type="cellIs" dxfId="579" priority="584" operator="lessThan">
      <formula>0</formula>
    </cfRule>
  </conditionalFormatting>
  <conditionalFormatting sqref="L24">
    <cfRule type="cellIs" dxfId="578" priority="583" operator="lessThan">
      <formula>0</formula>
    </cfRule>
  </conditionalFormatting>
  <conditionalFormatting sqref="L26:L28 L30:L31">
    <cfRule type="cellIs" dxfId="577" priority="582" operator="lessThan">
      <formula>0</formula>
    </cfRule>
  </conditionalFormatting>
  <conditionalFormatting sqref="L26:L28 L30:L31">
    <cfRule type="cellIs" dxfId="576" priority="581" operator="lessThan">
      <formula>0</formula>
    </cfRule>
  </conditionalFormatting>
  <conditionalFormatting sqref="L26:L28 L30:L31">
    <cfRule type="cellIs" dxfId="575" priority="580" operator="lessThan">
      <formula>0</formula>
    </cfRule>
  </conditionalFormatting>
  <conditionalFormatting sqref="K9">
    <cfRule type="cellIs" dxfId="574" priority="552" operator="lessThan">
      <formula>0</formula>
    </cfRule>
  </conditionalFormatting>
  <conditionalFormatting sqref="K10">
    <cfRule type="cellIs" dxfId="573" priority="551" operator="lessThan">
      <formula>0</formula>
    </cfRule>
  </conditionalFormatting>
  <conditionalFormatting sqref="M11">
    <cfRule type="cellIs" dxfId="572" priority="576" operator="lessThan">
      <formula>0</formula>
    </cfRule>
  </conditionalFormatting>
  <conditionalFormatting sqref="M11">
    <cfRule type="cellIs" dxfId="571" priority="575" operator="lessThan">
      <formula>0</formula>
    </cfRule>
  </conditionalFormatting>
  <conditionalFormatting sqref="M11">
    <cfRule type="cellIs" dxfId="570" priority="574" operator="lessThan">
      <formula>0</formula>
    </cfRule>
  </conditionalFormatting>
  <conditionalFormatting sqref="M13">
    <cfRule type="cellIs" dxfId="569" priority="573" operator="lessThan">
      <formula>0</formula>
    </cfRule>
  </conditionalFormatting>
  <conditionalFormatting sqref="M13">
    <cfRule type="cellIs" dxfId="568" priority="572" operator="lessThan">
      <formula>0</formula>
    </cfRule>
  </conditionalFormatting>
  <conditionalFormatting sqref="M13">
    <cfRule type="cellIs" dxfId="567" priority="571" operator="lessThan">
      <formula>0</formula>
    </cfRule>
  </conditionalFormatting>
  <conditionalFormatting sqref="M18:M22">
    <cfRule type="cellIs" dxfId="566" priority="561" operator="lessThan">
      <formula>0</formula>
    </cfRule>
  </conditionalFormatting>
  <conditionalFormatting sqref="M18:M22">
    <cfRule type="cellIs" dxfId="565" priority="560" operator="lessThan">
      <formula>0</formula>
    </cfRule>
  </conditionalFormatting>
  <conditionalFormatting sqref="M18:M22">
    <cfRule type="cellIs" dxfId="564" priority="559" operator="lessThan">
      <formula>0</formula>
    </cfRule>
  </conditionalFormatting>
  <conditionalFormatting sqref="M24">
    <cfRule type="cellIs" dxfId="563" priority="558" operator="lessThan">
      <formula>0</formula>
    </cfRule>
  </conditionalFormatting>
  <conditionalFormatting sqref="M24">
    <cfRule type="cellIs" dxfId="562" priority="557" operator="lessThan">
      <formula>0</formula>
    </cfRule>
  </conditionalFormatting>
  <conditionalFormatting sqref="M24">
    <cfRule type="cellIs" dxfId="561" priority="556" operator="lessThan">
      <formula>0</formula>
    </cfRule>
  </conditionalFormatting>
  <conditionalFormatting sqref="M26:M28 M30:M31">
    <cfRule type="cellIs" dxfId="560" priority="555" operator="lessThan">
      <formula>0</formula>
    </cfRule>
  </conditionalFormatting>
  <conditionalFormatting sqref="M26:M28 M30:M31">
    <cfRule type="cellIs" dxfId="559" priority="554" operator="lessThan">
      <formula>0</formula>
    </cfRule>
  </conditionalFormatting>
  <conditionalFormatting sqref="M26:M28 M30:M31">
    <cfRule type="cellIs" dxfId="558" priority="553" operator="lessThan">
      <formula>0</formula>
    </cfRule>
  </conditionalFormatting>
  <conditionalFormatting sqref="K26:K28 K30:K31">
    <cfRule type="cellIs" dxfId="557" priority="535" operator="lessThan">
      <formula>0</formula>
    </cfRule>
  </conditionalFormatting>
  <conditionalFormatting sqref="K26:K28 K30:K31">
    <cfRule type="cellIs" dxfId="556" priority="534" operator="lessThan">
      <formula>0</formula>
    </cfRule>
  </conditionalFormatting>
  <conditionalFormatting sqref="K10">
    <cfRule type="cellIs" dxfId="555" priority="548" operator="lessThan">
      <formula>0</formula>
    </cfRule>
  </conditionalFormatting>
  <conditionalFormatting sqref="K10">
    <cfRule type="cellIs" dxfId="554" priority="547" operator="lessThan">
      <formula>0</formula>
    </cfRule>
  </conditionalFormatting>
  <conditionalFormatting sqref="K10:K11 K13">
    <cfRule type="cellIs" dxfId="553" priority="545" operator="lessThan">
      <formula>0</formula>
    </cfRule>
  </conditionalFormatting>
  <conditionalFormatting sqref="K10:K11 K13">
    <cfRule type="cellIs" dxfId="552" priority="544" operator="lessThan">
      <formula>0</formula>
    </cfRule>
  </conditionalFormatting>
  <conditionalFormatting sqref="K10:K11 K13">
    <cfRule type="cellIs" dxfId="551" priority="543" operator="lessThan">
      <formula>0</formula>
    </cfRule>
  </conditionalFormatting>
  <conditionalFormatting sqref="K18:K22">
    <cfRule type="cellIs" dxfId="550" priority="542" operator="lessThan">
      <formula>0</formula>
    </cfRule>
  </conditionalFormatting>
  <conditionalFormatting sqref="K18:K22">
    <cfRule type="cellIs" dxfId="549" priority="541" operator="lessThan">
      <formula>0</formula>
    </cfRule>
  </conditionalFormatting>
  <conditionalFormatting sqref="K18:K22">
    <cfRule type="cellIs" dxfId="548" priority="540" operator="lessThan">
      <formula>0</formula>
    </cfRule>
  </conditionalFormatting>
  <conditionalFormatting sqref="K24">
    <cfRule type="cellIs" dxfId="547" priority="539" operator="lessThan">
      <formula>0</formula>
    </cfRule>
  </conditionalFormatting>
  <conditionalFormatting sqref="K24">
    <cfRule type="cellIs" dxfId="546" priority="538" operator="lessThan">
      <formula>0</formula>
    </cfRule>
  </conditionalFormatting>
  <conditionalFormatting sqref="K24">
    <cfRule type="cellIs" dxfId="545" priority="537" operator="lessThan">
      <formula>0</formula>
    </cfRule>
  </conditionalFormatting>
  <conditionalFormatting sqref="K26:K28 K30:K31">
    <cfRule type="cellIs" dxfId="544" priority="536" operator="lessThan">
      <formula>0</formula>
    </cfRule>
  </conditionalFormatting>
  <conditionalFormatting sqref="J10">
    <cfRule type="cellIs" dxfId="543" priority="490" operator="lessThan">
      <formula>0</formula>
    </cfRule>
  </conditionalFormatting>
  <conditionalFormatting sqref="J10">
    <cfRule type="cellIs" dxfId="542" priority="489" operator="lessThan">
      <formula>0</formula>
    </cfRule>
  </conditionalFormatting>
  <conditionalFormatting sqref="J10:J11 J13">
    <cfRule type="cellIs" dxfId="541" priority="488" operator="lessThan">
      <formula>0</formula>
    </cfRule>
  </conditionalFormatting>
  <conditionalFormatting sqref="J10:J11 J13">
    <cfRule type="cellIs" dxfId="540" priority="487" operator="lessThan">
      <formula>0</formula>
    </cfRule>
  </conditionalFormatting>
  <conditionalFormatting sqref="J10:J11 J13">
    <cfRule type="cellIs" dxfId="539" priority="486" operator="lessThan">
      <formula>0</formula>
    </cfRule>
  </conditionalFormatting>
  <conditionalFormatting sqref="J18:J22">
    <cfRule type="cellIs" dxfId="538" priority="485" operator="lessThan">
      <formula>0</formula>
    </cfRule>
  </conditionalFormatting>
  <conditionalFormatting sqref="J18:J22">
    <cfRule type="cellIs" dxfId="537" priority="484" operator="lessThan">
      <formula>0</formula>
    </cfRule>
  </conditionalFormatting>
  <conditionalFormatting sqref="J18:J22">
    <cfRule type="cellIs" dxfId="536" priority="483" operator="lessThan">
      <formula>0</formula>
    </cfRule>
  </conditionalFormatting>
  <conditionalFormatting sqref="J24">
    <cfRule type="cellIs" dxfId="535" priority="482" operator="lessThan">
      <formula>0</formula>
    </cfRule>
  </conditionalFormatting>
  <conditionalFormatting sqref="J24">
    <cfRule type="cellIs" dxfId="534" priority="481" operator="lessThan">
      <formula>0</formula>
    </cfRule>
  </conditionalFormatting>
  <conditionalFormatting sqref="J24">
    <cfRule type="cellIs" dxfId="533" priority="480" operator="lessThan">
      <formula>0</formula>
    </cfRule>
  </conditionalFormatting>
  <conditionalFormatting sqref="J26:J28 J30:J31">
    <cfRule type="cellIs" dxfId="532" priority="479" operator="lessThan">
      <formula>0</formula>
    </cfRule>
  </conditionalFormatting>
  <conditionalFormatting sqref="J26:J28 J30:J31">
    <cfRule type="cellIs" dxfId="531" priority="478" operator="lessThan">
      <formula>0</formula>
    </cfRule>
  </conditionalFormatting>
  <conditionalFormatting sqref="J26:J28 J30:J31">
    <cfRule type="cellIs" dxfId="530" priority="477" operator="lessThan">
      <formula>0</formula>
    </cfRule>
  </conditionalFormatting>
  <conditionalFormatting sqref="L21">
    <cfRule type="cellIs" dxfId="529" priority="476" operator="lessThan">
      <formula>0</formula>
    </cfRule>
  </conditionalFormatting>
  <conditionalFormatting sqref="L21">
    <cfRule type="cellIs" dxfId="528" priority="475" operator="lessThan">
      <formula>0</formula>
    </cfRule>
  </conditionalFormatting>
  <conditionalFormatting sqref="L21">
    <cfRule type="cellIs" dxfId="527" priority="474" operator="lessThan">
      <formula>0</formula>
    </cfRule>
  </conditionalFormatting>
  <conditionalFormatting sqref="J9">
    <cfRule type="cellIs" dxfId="526" priority="495" operator="lessThan">
      <formula>0</formula>
    </cfRule>
  </conditionalFormatting>
  <conditionalFormatting sqref="J10">
    <cfRule type="cellIs" dxfId="525" priority="494" operator="lessThan">
      <formula>0</formula>
    </cfRule>
  </conditionalFormatting>
  <conditionalFormatting sqref="N1">
    <cfRule type="cellIs" dxfId="524" priority="473" operator="lessThan">
      <formula>0</formula>
    </cfRule>
  </conditionalFormatting>
  <conditionalFormatting sqref="N4 N9">
    <cfRule type="cellIs" dxfId="523" priority="466" operator="lessThan">
      <formula>0</formula>
    </cfRule>
  </conditionalFormatting>
  <conditionalFormatting sqref="N10">
    <cfRule type="cellIs" dxfId="522" priority="463" operator="lessThan">
      <formula>0</formula>
    </cfRule>
  </conditionalFormatting>
  <conditionalFormatting sqref="N10">
    <cfRule type="cellIs" dxfId="521" priority="465" operator="lessThan">
      <formula>0</formula>
    </cfRule>
  </conditionalFormatting>
  <conditionalFormatting sqref="N10">
    <cfRule type="cellIs" dxfId="520" priority="464" operator="lessThan">
      <formula>0</formula>
    </cfRule>
  </conditionalFormatting>
  <conditionalFormatting sqref="N11">
    <cfRule type="cellIs" dxfId="519" priority="454" operator="lessThan">
      <formula>0</formula>
    </cfRule>
  </conditionalFormatting>
  <conditionalFormatting sqref="N18:N22">
    <cfRule type="cellIs" dxfId="518" priority="448" operator="lessThan">
      <formula>0</formula>
    </cfRule>
  </conditionalFormatting>
  <conditionalFormatting sqref="N18:N22">
    <cfRule type="cellIs" dxfId="517" priority="447" operator="lessThan">
      <formula>0</formula>
    </cfRule>
  </conditionalFormatting>
  <conditionalFormatting sqref="N18:N22">
    <cfRule type="cellIs" dxfId="516" priority="446" operator="lessThan">
      <formula>0</formula>
    </cfRule>
  </conditionalFormatting>
  <conditionalFormatting sqref="N11">
    <cfRule type="cellIs" dxfId="515" priority="453" operator="lessThan">
      <formula>0</formula>
    </cfRule>
  </conditionalFormatting>
  <conditionalFormatting sqref="N11">
    <cfRule type="cellIs" dxfId="514" priority="452" operator="lessThan">
      <formula>0</formula>
    </cfRule>
  </conditionalFormatting>
  <conditionalFormatting sqref="N13">
    <cfRule type="cellIs" dxfId="513" priority="451" operator="lessThan">
      <formula>0</formula>
    </cfRule>
  </conditionalFormatting>
  <conditionalFormatting sqref="N13">
    <cfRule type="cellIs" dxfId="512" priority="450" operator="lessThan">
      <formula>0</formula>
    </cfRule>
  </conditionalFormatting>
  <conditionalFormatting sqref="N13">
    <cfRule type="cellIs" dxfId="511" priority="449" operator="lessThan">
      <formula>0</formula>
    </cfRule>
  </conditionalFormatting>
  <conditionalFormatting sqref="N24">
    <cfRule type="cellIs" dxfId="510" priority="445" operator="lessThan">
      <formula>0</formula>
    </cfRule>
  </conditionalFormatting>
  <conditionalFormatting sqref="N24">
    <cfRule type="cellIs" dxfId="509" priority="444" operator="lessThan">
      <formula>0</formula>
    </cfRule>
  </conditionalFormatting>
  <conditionalFormatting sqref="N24">
    <cfRule type="cellIs" dxfId="508" priority="443" operator="lessThan">
      <formula>0</formula>
    </cfRule>
  </conditionalFormatting>
  <conditionalFormatting sqref="N26:N28 N30:N31">
    <cfRule type="cellIs" dxfId="507" priority="442" operator="lessThan">
      <formula>0</formula>
    </cfRule>
  </conditionalFormatting>
  <conditionalFormatting sqref="N26:N28 N30:N31">
    <cfRule type="cellIs" dxfId="506" priority="441" operator="lessThan">
      <formula>0</formula>
    </cfRule>
  </conditionalFormatting>
  <conditionalFormatting sqref="N26:N28 N30:N31">
    <cfRule type="cellIs" dxfId="505" priority="440" operator="lessThan">
      <formula>0</formula>
    </cfRule>
  </conditionalFormatting>
  <conditionalFormatting sqref="C12:C13 C15:C16 C18:C27">
    <cfRule type="cellIs" dxfId="504" priority="426" operator="lessThan">
      <formula>0</formula>
    </cfRule>
  </conditionalFormatting>
  <conditionalFormatting sqref="C12:C13 C15:C16 C18:C27">
    <cfRule type="cellIs" dxfId="503" priority="425" operator="lessThan">
      <formula>0</formula>
    </cfRule>
  </conditionalFormatting>
  <conditionalFormatting sqref="B1">
    <cfRule type="cellIs" dxfId="502" priority="430" operator="lessThan">
      <formula>0</formula>
    </cfRule>
  </conditionalFormatting>
  <conditionalFormatting sqref="C12:C13 C15:C16 C18:C27">
    <cfRule type="cellIs" dxfId="501" priority="424" operator="lessThan">
      <formula>0</formula>
    </cfRule>
  </conditionalFormatting>
  <conditionalFormatting sqref="N8">
    <cfRule type="cellIs" dxfId="500" priority="391" operator="lessThan">
      <formula>0</formula>
    </cfRule>
  </conditionalFormatting>
  <conditionalFormatting sqref="M12">
    <cfRule type="cellIs" dxfId="499" priority="420" operator="lessThan">
      <formula>0</formula>
    </cfRule>
  </conditionalFormatting>
  <conditionalFormatting sqref="M12">
    <cfRule type="cellIs" dxfId="498" priority="419" operator="lessThan">
      <formula>0</formula>
    </cfRule>
  </conditionalFormatting>
  <conditionalFormatting sqref="M12">
    <cfRule type="cellIs" dxfId="497" priority="418" operator="lessThan">
      <formula>0</formula>
    </cfRule>
  </conditionalFormatting>
  <conditionalFormatting sqref="M8">
    <cfRule type="cellIs" dxfId="496" priority="417" operator="lessThan">
      <formula>0</formula>
    </cfRule>
  </conditionalFormatting>
  <conditionalFormatting sqref="M8">
    <cfRule type="cellIs" dxfId="495" priority="416" operator="lessThan">
      <formula>0</formula>
    </cfRule>
  </conditionalFormatting>
  <conditionalFormatting sqref="M8">
    <cfRule type="cellIs" dxfId="494" priority="415" operator="lessThan">
      <formula>0</formula>
    </cfRule>
  </conditionalFormatting>
  <conditionalFormatting sqref="J8">
    <cfRule type="cellIs" dxfId="493" priority="414" operator="lessThan">
      <formula>0</formula>
    </cfRule>
  </conditionalFormatting>
  <conditionalFormatting sqref="J8">
    <cfRule type="cellIs" dxfId="492" priority="413" operator="lessThan">
      <formula>0</formula>
    </cfRule>
  </conditionalFormatting>
  <conditionalFormatting sqref="J8">
    <cfRule type="cellIs" dxfId="491" priority="412" operator="lessThan">
      <formula>0</formula>
    </cfRule>
  </conditionalFormatting>
  <conditionalFormatting sqref="J12">
    <cfRule type="cellIs" dxfId="490" priority="411" operator="lessThan">
      <formula>0</formula>
    </cfRule>
  </conditionalFormatting>
  <conditionalFormatting sqref="J12">
    <cfRule type="cellIs" dxfId="489" priority="410" operator="lessThan">
      <formula>0</formula>
    </cfRule>
  </conditionalFormatting>
  <conditionalFormatting sqref="J12">
    <cfRule type="cellIs" dxfId="488" priority="409" operator="lessThan">
      <formula>0</formula>
    </cfRule>
  </conditionalFormatting>
  <conditionalFormatting sqref="K12">
    <cfRule type="cellIs" dxfId="487" priority="408" operator="lessThan">
      <formula>0</formula>
    </cfRule>
  </conditionalFormatting>
  <conditionalFormatting sqref="K12">
    <cfRule type="cellIs" dxfId="486" priority="407" operator="lessThan">
      <formula>0</formula>
    </cfRule>
  </conditionalFormatting>
  <conditionalFormatting sqref="K12">
    <cfRule type="cellIs" dxfId="485" priority="406" operator="lessThan">
      <formula>0</formula>
    </cfRule>
  </conditionalFormatting>
  <conditionalFormatting sqref="K8">
    <cfRule type="cellIs" dxfId="484" priority="405" operator="lessThan">
      <formula>0</formula>
    </cfRule>
  </conditionalFormatting>
  <conditionalFormatting sqref="K8">
    <cfRule type="cellIs" dxfId="483" priority="404" operator="lessThan">
      <formula>0</formula>
    </cfRule>
  </conditionalFormatting>
  <conditionalFormatting sqref="K8">
    <cfRule type="cellIs" dxfId="482" priority="403" operator="lessThan">
      <formula>0</formula>
    </cfRule>
  </conditionalFormatting>
  <conditionalFormatting sqref="L12">
    <cfRule type="cellIs" dxfId="481" priority="402" operator="lessThan">
      <formula>0</formula>
    </cfRule>
  </conditionalFormatting>
  <conditionalFormatting sqref="L12">
    <cfRule type="cellIs" dxfId="480" priority="401" operator="lessThan">
      <formula>0</formula>
    </cfRule>
  </conditionalFormatting>
  <conditionalFormatting sqref="L12">
    <cfRule type="cellIs" dxfId="479" priority="400" operator="lessThan">
      <formula>0</formula>
    </cfRule>
  </conditionalFormatting>
  <conditionalFormatting sqref="L8">
    <cfRule type="cellIs" dxfId="478" priority="399" operator="lessThan">
      <formula>0</formula>
    </cfRule>
  </conditionalFormatting>
  <conditionalFormatting sqref="L8">
    <cfRule type="cellIs" dxfId="477" priority="398" operator="lessThan">
      <formula>0</formula>
    </cfRule>
  </conditionalFormatting>
  <conditionalFormatting sqref="L8">
    <cfRule type="cellIs" dxfId="476" priority="397" operator="lessThan">
      <formula>0</formula>
    </cfRule>
  </conditionalFormatting>
  <conditionalFormatting sqref="N12">
    <cfRule type="cellIs" dxfId="475" priority="396" operator="lessThan">
      <formula>0</formula>
    </cfRule>
  </conditionalFormatting>
  <conditionalFormatting sqref="N12">
    <cfRule type="cellIs" dxfId="474" priority="395" operator="lessThan">
      <formula>0</formula>
    </cfRule>
  </conditionalFormatting>
  <conditionalFormatting sqref="N12">
    <cfRule type="cellIs" dxfId="473" priority="394" operator="lessThan">
      <formula>0</formula>
    </cfRule>
  </conditionalFormatting>
  <conditionalFormatting sqref="N8">
    <cfRule type="cellIs" dxfId="472" priority="393" operator="lessThan">
      <formula>0</formula>
    </cfRule>
  </conditionalFormatting>
  <conditionalFormatting sqref="N8">
    <cfRule type="cellIs" dxfId="471" priority="392" operator="lessThan">
      <formula>0</formula>
    </cfRule>
  </conditionalFormatting>
  <conditionalFormatting sqref="I26:I27 I29:I30">
    <cfRule type="cellIs" dxfId="470" priority="390" operator="lessThan">
      <formula>0</formula>
    </cfRule>
  </conditionalFormatting>
  <conditionalFormatting sqref="I25">
    <cfRule type="cellIs" dxfId="469" priority="388" operator="lessThan">
      <formula>0</formula>
    </cfRule>
  </conditionalFormatting>
  <conditionalFormatting sqref="I7:I8">
    <cfRule type="cellIs" dxfId="468" priority="385" operator="lessThan">
      <formula>0</formula>
    </cfRule>
  </conditionalFormatting>
  <conditionalFormatting sqref="I6">
    <cfRule type="cellIs" dxfId="467" priority="386" operator="lessThan">
      <formula>0</formula>
    </cfRule>
  </conditionalFormatting>
  <conditionalFormatting sqref="I16">
    <cfRule type="cellIs" dxfId="466" priority="377" operator="lessThan">
      <formula>0</formula>
    </cfRule>
  </conditionalFormatting>
  <conditionalFormatting sqref="I3:I5 I9">
    <cfRule type="cellIs" dxfId="465" priority="387" operator="lessThan">
      <formula>0</formula>
    </cfRule>
  </conditionalFormatting>
  <conditionalFormatting sqref="I16">
    <cfRule type="cellIs" dxfId="464" priority="378" operator="lessThan">
      <formula>0</formula>
    </cfRule>
  </conditionalFormatting>
  <conditionalFormatting sqref="I15">
    <cfRule type="cellIs" dxfId="463" priority="389" operator="lessThan">
      <formula>0</formula>
    </cfRule>
  </conditionalFormatting>
  <conditionalFormatting sqref="I7:I8">
    <cfRule type="cellIs" dxfId="462" priority="384" operator="lessThan">
      <formula>0</formula>
    </cfRule>
  </conditionalFormatting>
  <conditionalFormatting sqref="I7">
    <cfRule type="cellIs" dxfId="461" priority="383" operator="lessThan">
      <formula>0</formula>
    </cfRule>
  </conditionalFormatting>
  <conditionalFormatting sqref="I8">
    <cfRule type="cellIs" dxfId="460" priority="382" operator="lessThan">
      <formula>0</formula>
    </cfRule>
  </conditionalFormatting>
  <conditionalFormatting sqref="I13 I19 I22 I10:I11">
    <cfRule type="cellIs" dxfId="459" priority="381" operator="lessThan">
      <formula>0</formula>
    </cfRule>
  </conditionalFormatting>
  <conditionalFormatting sqref="I13 I19 I22 I10:I11">
    <cfRule type="cellIs" dxfId="458" priority="380" operator="lessThan">
      <formula>0</formula>
    </cfRule>
  </conditionalFormatting>
  <conditionalFormatting sqref="I13 I19 I22 I10:I11">
    <cfRule type="cellIs" dxfId="457" priority="379" operator="lessThan">
      <formula>0</formula>
    </cfRule>
  </conditionalFormatting>
  <conditionalFormatting sqref="I16">
    <cfRule type="cellIs" dxfId="456" priority="376" operator="lessThan">
      <formula>0</formula>
    </cfRule>
  </conditionalFormatting>
  <conditionalFormatting sqref="I16">
    <cfRule type="cellIs" dxfId="455" priority="375" operator="lessThan">
      <formula>0</formula>
    </cfRule>
  </conditionalFormatting>
  <conditionalFormatting sqref="I19">
    <cfRule type="cellIs" dxfId="454" priority="374" operator="lessThan">
      <formula>0</formula>
    </cfRule>
  </conditionalFormatting>
  <conditionalFormatting sqref="I19">
    <cfRule type="cellIs" dxfId="453" priority="373" operator="lessThan">
      <formula>0</formula>
    </cfRule>
  </conditionalFormatting>
  <conditionalFormatting sqref="I19">
    <cfRule type="cellIs" dxfId="452" priority="372" operator="lessThan">
      <formula>0</formula>
    </cfRule>
  </conditionalFormatting>
  <conditionalFormatting sqref="I23">
    <cfRule type="cellIs" dxfId="451" priority="371" operator="lessThan">
      <formula>0</formula>
    </cfRule>
  </conditionalFormatting>
  <conditionalFormatting sqref="I18">
    <cfRule type="cellIs" dxfId="450" priority="364" operator="lessThan">
      <formula>0</formula>
    </cfRule>
  </conditionalFormatting>
  <conditionalFormatting sqref="I18">
    <cfRule type="cellIs" dxfId="449" priority="363" operator="lessThan">
      <formula>0</formula>
    </cfRule>
  </conditionalFormatting>
  <conditionalFormatting sqref="I18">
    <cfRule type="cellIs" dxfId="448" priority="362" operator="lessThan">
      <formula>0</formula>
    </cfRule>
  </conditionalFormatting>
  <conditionalFormatting sqref="I18">
    <cfRule type="cellIs" dxfId="447" priority="361" operator="lessThan">
      <formula>0</formula>
    </cfRule>
  </conditionalFormatting>
  <conditionalFormatting sqref="I18">
    <cfRule type="cellIs" dxfId="446" priority="360" operator="lessThan">
      <formula>0</formula>
    </cfRule>
  </conditionalFormatting>
  <conditionalFormatting sqref="I18">
    <cfRule type="cellIs" dxfId="445" priority="359" operator="lessThan">
      <formula>0</formula>
    </cfRule>
  </conditionalFormatting>
  <conditionalFormatting sqref="I24">
    <cfRule type="cellIs" dxfId="444" priority="358" operator="lessThan">
      <formula>0</formula>
    </cfRule>
  </conditionalFormatting>
  <conditionalFormatting sqref="I24">
    <cfRule type="cellIs" dxfId="443" priority="357" operator="lessThan">
      <formula>0</formula>
    </cfRule>
  </conditionalFormatting>
  <conditionalFormatting sqref="I24">
    <cfRule type="cellIs" dxfId="442" priority="356" operator="lessThan">
      <formula>0</formula>
    </cfRule>
  </conditionalFormatting>
  <conditionalFormatting sqref="I24">
    <cfRule type="cellIs" dxfId="441" priority="355" operator="lessThan">
      <formula>0</formula>
    </cfRule>
  </conditionalFormatting>
  <conditionalFormatting sqref="I24">
    <cfRule type="cellIs" dxfId="440" priority="354" operator="lessThan">
      <formula>0</formula>
    </cfRule>
  </conditionalFormatting>
  <conditionalFormatting sqref="I24">
    <cfRule type="cellIs" dxfId="439" priority="353" operator="lessThan">
      <formula>0</formula>
    </cfRule>
  </conditionalFormatting>
  <conditionalFormatting sqref="I20">
    <cfRule type="cellIs" dxfId="438" priority="352" operator="lessThan">
      <formula>0</formula>
    </cfRule>
  </conditionalFormatting>
  <conditionalFormatting sqref="I20">
    <cfRule type="cellIs" dxfId="437" priority="351" operator="lessThan">
      <formula>0</formula>
    </cfRule>
  </conditionalFormatting>
  <conditionalFormatting sqref="I20">
    <cfRule type="cellIs" dxfId="436" priority="350" operator="lessThan">
      <formula>0</formula>
    </cfRule>
  </conditionalFormatting>
  <conditionalFormatting sqref="I20">
    <cfRule type="cellIs" dxfId="435" priority="349" operator="lessThan">
      <formula>0</formula>
    </cfRule>
  </conditionalFormatting>
  <conditionalFormatting sqref="I20">
    <cfRule type="cellIs" dxfId="434" priority="348" operator="lessThan">
      <formula>0</formula>
    </cfRule>
  </conditionalFormatting>
  <conditionalFormatting sqref="I20">
    <cfRule type="cellIs" dxfId="433" priority="347" operator="lessThan">
      <formula>0</formula>
    </cfRule>
  </conditionalFormatting>
  <conditionalFormatting sqref="I21">
    <cfRule type="cellIs" dxfId="432" priority="342" operator="lessThan">
      <formula>0</formula>
    </cfRule>
  </conditionalFormatting>
  <conditionalFormatting sqref="I21">
    <cfRule type="cellIs" dxfId="431" priority="341" operator="lessThan">
      <formula>0</formula>
    </cfRule>
  </conditionalFormatting>
  <conditionalFormatting sqref="I21">
    <cfRule type="cellIs" dxfId="430" priority="345" operator="lessThan">
      <formula>0</formula>
    </cfRule>
  </conditionalFormatting>
  <conditionalFormatting sqref="I21">
    <cfRule type="cellIs" dxfId="429" priority="346" operator="lessThan">
      <formula>0</formula>
    </cfRule>
  </conditionalFormatting>
  <conditionalFormatting sqref="I21">
    <cfRule type="cellIs" dxfId="428" priority="344" operator="lessThan">
      <formula>0</formula>
    </cfRule>
  </conditionalFormatting>
  <conditionalFormatting sqref="I21">
    <cfRule type="cellIs" dxfId="427" priority="343" operator="lessThan">
      <formula>0</formula>
    </cfRule>
  </conditionalFormatting>
  <conditionalFormatting sqref="I28">
    <cfRule type="cellIs" dxfId="426" priority="340" operator="lessThan">
      <formula>0</formula>
    </cfRule>
  </conditionalFormatting>
  <conditionalFormatting sqref="I1">
    <cfRule type="cellIs" dxfId="425" priority="334" operator="lessThan">
      <formula>0</formula>
    </cfRule>
  </conditionalFormatting>
  <conditionalFormatting sqref="I12">
    <cfRule type="cellIs" dxfId="424" priority="332" operator="lessThan">
      <formula>0</formula>
    </cfRule>
  </conditionalFormatting>
  <conditionalFormatting sqref="I12">
    <cfRule type="cellIs" dxfId="423" priority="331" operator="lessThan">
      <formula>0</formula>
    </cfRule>
  </conditionalFormatting>
  <conditionalFormatting sqref="I12">
    <cfRule type="cellIs" dxfId="422" priority="330" operator="lessThan">
      <formula>0</formula>
    </cfRule>
  </conditionalFormatting>
  <conditionalFormatting sqref="B14">
    <cfRule type="cellIs" dxfId="421" priority="264" operator="lessThan">
      <formula>0</formula>
    </cfRule>
  </conditionalFormatting>
  <conditionalFormatting sqref="B14">
    <cfRule type="cellIs" dxfId="420" priority="263" operator="lessThan">
      <formula>0</formula>
    </cfRule>
  </conditionalFormatting>
  <conditionalFormatting sqref="B14">
    <cfRule type="cellIs" dxfId="419" priority="262" operator="lessThan">
      <formula>0</formula>
    </cfRule>
  </conditionalFormatting>
  <conditionalFormatting sqref="L14">
    <cfRule type="cellIs" dxfId="418" priority="261" operator="lessThan">
      <formula>0</formula>
    </cfRule>
  </conditionalFormatting>
  <conditionalFormatting sqref="L14">
    <cfRule type="cellIs" dxfId="417" priority="260" operator="lessThan">
      <formula>0</formula>
    </cfRule>
  </conditionalFormatting>
  <conditionalFormatting sqref="L14">
    <cfRule type="cellIs" dxfId="416" priority="259" operator="lessThan">
      <formula>0</formula>
    </cfRule>
  </conditionalFormatting>
  <conditionalFormatting sqref="M14">
    <cfRule type="cellIs" dxfId="415" priority="258" operator="lessThan">
      <formula>0</formula>
    </cfRule>
  </conditionalFormatting>
  <conditionalFormatting sqref="M14">
    <cfRule type="cellIs" dxfId="414" priority="257" operator="lessThan">
      <formula>0</formula>
    </cfRule>
  </conditionalFormatting>
  <conditionalFormatting sqref="M14">
    <cfRule type="cellIs" dxfId="413" priority="256" operator="lessThan">
      <formula>0</formula>
    </cfRule>
  </conditionalFormatting>
  <conditionalFormatting sqref="K14">
    <cfRule type="cellIs" dxfId="412" priority="255" operator="lessThan">
      <formula>0</formula>
    </cfRule>
  </conditionalFormatting>
  <conditionalFormatting sqref="K14">
    <cfRule type="cellIs" dxfId="411" priority="254" operator="lessThan">
      <formula>0</formula>
    </cfRule>
  </conditionalFormatting>
  <conditionalFormatting sqref="K14">
    <cfRule type="cellIs" dxfId="410" priority="253" operator="lessThan">
      <formula>0</formula>
    </cfRule>
  </conditionalFormatting>
  <conditionalFormatting sqref="J14">
    <cfRule type="cellIs" dxfId="409" priority="252" operator="lessThan">
      <formula>0</formula>
    </cfRule>
  </conditionalFormatting>
  <conditionalFormatting sqref="J14">
    <cfRule type="cellIs" dxfId="408" priority="251" operator="lessThan">
      <formula>0</formula>
    </cfRule>
  </conditionalFormatting>
  <conditionalFormatting sqref="J14">
    <cfRule type="cellIs" dxfId="407" priority="250" operator="lessThan">
      <formula>0</formula>
    </cfRule>
  </conditionalFormatting>
  <conditionalFormatting sqref="N14">
    <cfRule type="cellIs" dxfId="406" priority="249" operator="lessThan">
      <formula>0</formula>
    </cfRule>
  </conditionalFormatting>
  <conditionalFormatting sqref="N14">
    <cfRule type="cellIs" dxfId="405" priority="248" operator="lessThan">
      <formula>0</formula>
    </cfRule>
  </conditionalFormatting>
  <conditionalFormatting sqref="N14">
    <cfRule type="cellIs" dxfId="404" priority="247" operator="lessThan">
      <formula>0</formula>
    </cfRule>
  </conditionalFormatting>
  <conditionalFormatting sqref="C14">
    <cfRule type="cellIs" dxfId="403" priority="246" operator="lessThan">
      <formula>0</formula>
    </cfRule>
  </conditionalFormatting>
  <conditionalFormatting sqref="C14">
    <cfRule type="cellIs" dxfId="402" priority="245" operator="lessThan">
      <formula>0</formula>
    </cfRule>
  </conditionalFormatting>
  <conditionalFormatting sqref="C14">
    <cfRule type="cellIs" dxfId="401" priority="244" operator="lessThan">
      <formula>0</formula>
    </cfRule>
  </conditionalFormatting>
  <conditionalFormatting sqref="I14">
    <cfRule type="cellIs" dxfId="400" priority="243" operator="lessThan">
      <formula>0</formula>
    </cfRule>
  </conditionalFormatting>
  <conditionalFormatting sqref="I14">
    <cfRule type="cellIs" dxfId="399" priority="242" operator="lessThan">
      <formula>0</formula>
    </cfRule>
  </conditionalFormatting>
  <conditionalFormatting sqref="I14">
    <cfRule type="cellIs" dxfId="398" priority="241" operator="lessThan">
      <formula>0</formula>
    </cfRule>
  </conditionalFormatting>
  <conditionalFormatting sqref="B17">
    <cfRule type="cellIs" dxfId="397" priority="237" operator="lessThan">
      <formula>0</formula>
    </cfRule>
  </conditionalFormatting>
  <conditionalFormatting sqref="B17">
    <cfRule type="cellIs" dxfId="396" priority="236" operator="lessThan">
      <formula>0</formula>
    </cfRule>
  </conditionalFormatting>
  <conditionalFormatting sqref="B17">
    <cfRule type="cellIs" dxfId="395" priority="235" operator="lessThan">
      <formula>0</formula>
    </cfRule>
  </conditionalFormatting>
  <conditionalFormatting sqref="L17">
    <cfRule type="cellIs" dxfId="394" priority="228" operator="lessThan">
      <formula>0</formula>
    </cfRule>
  </conditionalFormatting>
  <conditionalFormatting sqref="L17">
    <cfRule type="cellIs" dxfId="393" priority="227" operator="lessThan">
      <formula>0</formula>
    </cfRule>
  </conditionalFormatting>
  <conditionalFormatting sqref="L17">
    <cfRule type="cellIs" dxfId="392" priority="226" operator="lessThan">
      <formula>0</formula>
    </cfRule>
  </conditionalFormatting>
  <conditionalFormatting sqref="M17">
    <cfRule type="cellIs" dxfId="391" priority="225" operator="lessThan">
      <formula>0</formula>
    </cfRule>
  </conditionalFormatting>
  <conditionalFormatting sqref="M17">
    <cfRule type="cellIs" dxfId="390" priority="224" operator="lessThan">
      <formula>0</formula>
    </cfRule>
  </conditionalFormatting>
  <conditionalFormatting sqref="M17">
    <cfRule type="cellIs" dxfId="389" priority="223" operator="lessThan">
      <formula>0</formula>
    </cfRule>
  </conditionalFormatting>
  <conditionalFormatting sqref="K17">
    <cfRule type="cellIs" dxfId="388" priority="222" operator="lessThan">
      <formula>0</formula>
    </cfRule>
  </conditionalFormatting>
  <conditionalFormatting sqref="K17">
    <cfRule type="cellIs" dxfId="387" priority="221" operator="lessThan">
      <formula>0</formula>
    </cfRule>
  </conditionalFormatting>
  <conditionalFormatting sqref="K17">
    <cfRule type="cellIs" dxfId="386" priority="220" operator="lessThan">
      <formula>0</formula>
    </cfRule>
  </conditionalFormatting>
  <conditionalFormatting sqref="J17">
    <cfRule type="cellIs" dxfId="385" priority="219" operator="lessThan">
      <formula>0</formula>
    </cfRule>
  </conditionalFormatting>
  <conditionalFormatting sqref="J17">
    <cfRule type="cellIs" dxfId="384" priority="218" operator="lessThan">
      <formula>0</formula>
    </cfRule>
  </conditionalFormatting>
  <conditionalFormatting sqref="J17">
    <cfRule type="cellIs" dxfId="383" priority="217" operator="lessThan">
      <formula>0</formula>
    </cfRule>
  </conditionalFormatting>
  <conditionalFormatting sqref="N17">
    <cfRule type="cellIs" dxfId="382" priority="216" operator="lessThan">
      <formula>0</formula>
    </cfRule>
  </conditionalFormatting>
  <conditionalFormatting sqref="N17">
    <cfRule type="cellIs" dxfId="381" priority="215" operator="lessThan">
      <formula>0</formula>
    </cfRule>
  </conditionalFormatting>
  <conditionalFormatting sqref="N17">
    <cfRule type="cellIs" dxfId="380" priority="214" operator="lessThan">
      <formula>0</formula>
    </cfRule>
  </conditionalFormatting>
  <conditionalFormatting sqref="C17">
    <cfRule type="cellIs" dxfId="379" priority="213" operator="lessThan">
      <formula>0</formula>
    </cfRule>
  </conditionalFormatting>
  <conditionalFormatting sqref="C17">
    <cfRule type="cellIs" dxfId="378" priority="212" operator="lessThan">
      <formula>0</formula>
    </cfRule>
  </conditionalFormatting>
  <conditionalFormatting sqref="C17">
    <cfRule type="cellIs" dxfId="377" priority="211" operator="lessThan">
      <formula>0</formula>
    </cfRule>
  </conditionalFormatting>
  <conditionalFormatting sqref="I17">
    <cfRule type="cellIs" dxfId="376" priority="210" operator="lessThan">
      <formula>0</formula>
    </cfRule>
  </conditionalFormatting>
  <conditionalFormatting sqref="I17">
    <cfRule type="cellIs" dxfId="375" priority="209" operator="lessThan">
      <formula>0</formula>
    </cfRule>
  </conditionalFormatting>
  <conditionalFormatting sqref="I17">
    <cfRule type="cellIs" dxfId="374" priority="208" operator="lessThan">
      <formula>0</formula>
    </cfRule>
  </conditionalFormatting>
  <conditionalFormatting sqref="I17">
    <cfRule type="cellIs" dxfId="373" priority="207" operator="lessThan">
      <formula>0</formula>
    </cfRule>
  </conditionalFormatting>
  <conditionalFormatting sqref="I17">
    <cfRule type="cellIs" dxfId="372" priority="206" operator="lessThan">
      <formula>0</formula>
    </cfRule>
  </conditionalFormatting>
  <conditionalFormatting sqref="I17">
    <cfRule type="cellIs" dxfId="371" priority="205" operator="lessThan">
      <formula>0</formula>
    </cfRule>
  </conditionalFormatting>
  <conditionalFormatting sqref="G9 G16">
    <cfRule type="cellIs" dxfId="370" priority="198" operator="lessThan">
      <formula>0</formula>
    </cfRule>
  </conditionalFormatting>
  <conditionalFormatting sqref="G26:G27 G29:G30">
    <cfRule type="cellIs" dxfId="369" priority="197" operator="lessThan">
      <formula>0</formula>
    </cfRule>
  </conditionalFormatting>
  <conditionalFormatting sqref="G25">
    <cfRule type="cellIs" dxfId="368" priority="195" operator="lessThan">
      <formula>0</formula>
    </cfRule>
  </conditionalFormatting>
  <conditionalFormatting sqref="G7:G8">
    <cfRule type="cellIs" dxfId="367" priority="192" operator="lessThan">
      <formula>0</formula>
    </cfRule>
  </conditionalFormatting>
  <conditionalFormatting sqref="G6">
    <cfRule type="cellIs" dxfId="366" priority="193" operator="lessThan">
      <formula>0</formula>
    </cfRule>
  </conditionalFormatting>
  <conditionalFormatting sqref="G3:G4">
    <cfRule type="cellIs" dxfId="365" priority="194" operator="lessThan">
      <formula>0</formula>
    </cfRule>
  </conditionalFormatting>
  <conditionalFormatting sqref="G15">
    <cfRule type="cellIs" dxfId="364" priority="196" operator="lessThan">
      <formula>0</formula>
    </cfRule>
  </conditionalFormatting>
  <conditionalFormatting sqref="G7:G8">
    <cfRule type="cellIs" dxfId="363" priority="191" operator="lessThan">
      <formula>0</formula>
    </cfRule>
  </conditionalFormatting>
  <conditionalFormatting sqref="G7">
    <cfRule type="cellIs" dxfId="362" priority="190" operator="lessThan">
      <formula>0</formula>
    </cfRule>
  </conditionalFormatting>
  <conditionalFormatting sqref="G8">
    <cfRule type="cellIs" dxfId="361" priority="189" operator="lessThan">
      <formula>0</formula>
    </cfRule>
  </conditionalFormatting>
  <conditionalFormatting sqref="G13 G19 G22 G10:G11">
    <cfRule type="cellIs" dxfId="360" priority="188" operator="lessThan">
      <formula>0</formula>
    </cfRule>
  </conditionalFormatting>
  <conditionalFormatting sqref="G13 G19 G22 G10:G11">
    <cfRule type="cellIs" dxfId="359" priority="187" operator="lessThan">
      <formula>0</formula>
    </cfRule>
  </conditionalFormatting>
  <conditionalFormatting sqref="G13 G19 G22 G10:G11">
    <cfRule type="cellIs" dxfId="358" priority="186" operator="lessThan">
      <formula>0</formula>
    </cfRule>
  </conditionalFormatting>
  <conditionalFormatting sqref="G19">
    <cfRule type="cellIs" dxfId="357" priority="185" operator="lessThan">
      <formula>0</formula>
    </cfRule>
  </conditionalFormatting>
  <conditionalFormatting sqref="G19">
    <cfRule type="cellIs" dxfId="356" priority="184" operator="lessThan">
      <formula>0</formula>
    </cfRule>
  </conditionalFormatting>
  <conditionalFormatting sqref="G19">
    <cfRule type="cellIs" dxfId="355" priority="183" operator="lessThan">
      <formula>0</formula>
    </cfRule>
  </conditionalFormatting>
  <conditionalFormatting sqref="G23">
    <cfRule type="cellIs" dxfId="354" priority="182" operator="lessThan">
      <formula>0</formula>
    </cfRule>
  </conditionalFormatting>
  <conditionalFormatting sqref="G18">
    <cfRule type="cellIs" dxfId="353" priority="175" operator="lessThan">
      <formula>0</formula>
    </cfRule>
  </conditionalFormatting>
  <conditionalFormatting sqref="G18">
    <cfRule type="cellIs" dxfId="352" priority="174" operator="lessThan">
      <formula>0</formula>
    </cfRule>
  </conditionalFormatting>
  <conditionalFormatting sqref="G18">
    <cfRule type="cellIs" dxfId="351" priority="173" operator="lessThan">
      <formula>0</formula>
    </cfRule>
  </conditionalFormatting>
  <conditionalFormatting sqref="G18">
    <cfRule type="cellIs" dxfId="350" priority="172" operator="lessThan">
      <formula>0</formula>
    </cfRule>
  </conditionalFormatting>
  <conditionalFormatting sqref="G18">
    <cfRule type="cellIs" dxfId="349" priority="171" operator="lessThan">
      <formula>0</formula>
    </cfRule>
  </conditionalFormatting>
  <conditionalFormatting sqref="G18">
    <cfRule type="cellIs" dxfId="348" priority="170" operator="lessThan">
      <formula>0</formula>
    </cfRule>
  </conditionalFormatting>
  <conditionalFormatting sqref="G24">
    <cfRule type="cellIs" dxfId="347" priority="169" operator="lessThan">
      <formula>0</formula>
    </cfRule>
  </conditionalFormatting>
  <conditionalFormatting sqref="G24">
    <cfRule type="cellIs" dxfId="346" priority="168" operator="lessThan">
      <formula>0</formula>
    </cfRule>
  </conditionalFormatting>
  <conditionalFormatting sqref="G24">
    <cfRule type="cellIs" dxfId="345" priority="167" operator="lessThan">
      <formula>0</formula>
    </cfRule>
  </conditionalFormatting>
  <conditionalFormatting sqref="G24">
    <cfRule type="cellIs" dxfId="344" priority="166" operator="lessThan">
      <formula>0</formula>
    </cfRule>
  </conditionalFormatting>
  <conditionalFormatting sqref="G24">
    <cfRule type="cellIs" dxfId="343" priority="165" operator="lessThan">
      <formula>0</formula>
    </cfRule>
  </conditionalFormatting>
  <conditionalFormatting sqref="G24">
    <cfRule type="cellIs" dxfId="342" priority="164" operator="lessThan">
      <formula>0</formula>
    </cfRule>
  </conditionalFormatting>
  <conditionalFormatting sqref="G20">
    <cfRule type="cellIs" dxfId="341" priority="163" operator="lessThan">
      <formula>0</formula>
    </cfRule>
  </conditionalFormatting>
  <conditionalFormatting sqref="G20">
    <cfRule type="cellIs" dxfId="340" priority="162" operator="lessThan">
      <formula>0</formula>
    </cfRule>
  </conditionalFormatting>
  <conditionalFormatting sqref="G20">
    <cfRule type="cellIs" dxfId="339" priority="161" operator="lessThan">
      <formula>0</formula>
    </cfRule>
  </conditionalFormatting>
  <conditionalFormatting sqref="G20">
    <cfRule type="cellIs" dxfId="338" priority="160" operator="lessThan">
      <formula>0</formula>
    </cfRule>
  </conditionalFormatting>
  <conditionalFormatting sqref="G20">
    <cfRule type="cellIs" dxfId="337" priority="159" operator="lessThan">
      <formula>0</formula>
    </cfRule>
  </conditionalFormatting>
  <conditionalFormatting sqref="G20">
    <cfRule type="cellIs" dxfId="336" priority="158" operator="lessThan">
      <formula>0</formula>
    </cfRule>
  </conditionalFormatting>
  <conditionalFormatting sqref="G21">
    <cfRule type="cellIs" dxfId="335" priority="153" operator="lessThan">
      <formula>0</formula>
    </cfRule>
  </conditionalFormatting>
  <conditionalFormatting sqref="G21">
    <cfRule type="cellIs" dxfId="334" priority="152" operator="lessThan">
      <formula>0</formula>
    </cfRule>
  </conditionalFormatting>
  <conditionalFormatting sqref="G21">
    <cfRule type="cellIs" dxfId="333" priority="156" operator="lessThan">
      <formula>0</formula>
    </cfRule>
  </conditionalFormatting>
  <conditionalFormatting sqref="G21">
    <cfRule type="cellIs" dxfId="332" priority="157" operator="lessThan">
      <formula>0</formula>
    </cfRule>
  </conditionalFormatting>
  <conditionalFormatting sqref="G21">
    <cfRule type="cellIs" dxfId="331" priority="155" operator="lessThan">
      <formula>0</formula>
    </cfRule>
  </conditionalFormatting>
  <conditionalFormatting sqref="G21">
    <cfRule type="cellIs" dxfId="330" priority="154" operator="lessThan">
      <formula>0</formula>
    </cfRule>
  </conditionalFormatting>
  <conditionalFormatting sqref="G28">
    <cfRule type="cellIs" dxfId="329" priority="151" operator="lessThan">
      <formula>0</formula>
    </cfRule>
  </conditionalFormatting>
  <conditionalFormatting sqref="G1">
    <cfRule type="cellIs" dxfId="328" priority="150" operator="lessThan">
      <formula>0</formula>
    </cfRule>
  </conditionalFormatting>
  <conditionalFormatting sqref="G12">
    <cfRule type="cellIs" dxfId="327" priority="148" operator="lessThan">
      <formula>0</formula>
    </cfRule>
  </conditionalFormatting>
  <conditionalFormatting sqref="G12">
    <cfRule type="cellIs" dxfId="326" priority="147" operator="lessThan">
      <formula>0</formula>
    </cfRule>
  </conditionalFormatting>
  <conditionalFormatting sqref="G12">
    <cfRule type="cellIs" dxfId="325" priority="146" operator="lessThan">
      <formula>0</formula>
    </cfRule>
  </conditionalFormatting>
  <conditionalFormatting sqref="G31">
    <cfRule type="cellIs" dxfId="324" priority="145" operator="lessThan">
      <formula>0</formula>
    </cfRule>
  </conditionalFormatting>
  <conditionalFormatting sqref="G31">
    <cfRule type="cellIs" dxfId="323" priority="144" operator="lessThan">
      <formula>0</formula>
    </cfRule>
  </conditionalFormatting>
  <conditionalFormatting sqref="G31">
    <cfRule type="cellIs" dxfId="322" priority="143" operator="lessThan">
      <formula>0</formula>
    </cfRule>
  </conditionalFormatting>
  <conditionalFormatting sqref="G14">
    <cfRule type="cellIs" dxfId="321" priority="142" operator="lessThan">
      <formula>0</formula>
    </cfRule>
  </conditionalFormatting>
  <conditionalFormatting sqref="G14">
    <cfRule type="cellIs" dxfId="320" priority="141" operator="lessThan">
      <formula>0</formula>
    </cfRule>
  </conditionalFormatting>
  <conditionalFormatting sqref="G14">
    <cfRule type="cellIs" dxfId="319" priority="140" operator="lessThan">
      <formula>0</formula>
    </cfRule>
  </conditionalFormatting>
  <conditionalFormatting sqref="G17">
    <cfRule type="cellIs" dxfId="318" priority="139" operator="lessThan">
      <formula>0</formula>
    </cfRule>
  </conditionalFormatting>
  <conditionalFormatting sqref="G17">
    <cfRule type="cellIs" dxfId="317" priority="138" operator="lessThan">
      <formula>0</formula>
    </cfRule>
  </conditionalFormatting>
  <conditionalFormatting sqref="G17">
    <cfRule type="cellIs" dxfId="316" priority="137" operator="lessThan">
      <formula>0</formula>
    </cfRule>
  </conditionalFormatting>
  <conditionalFormatting sqref="G17">
    <cfRule type="cellIs" dxfId="315" priority="136" operator="lessThan">
      <formula>0</formula>
    </cfRule>
  </conditionalFormatting>
  <conditionalFormatting sqref="G17">
    <cfRule type="cellIs" dxfId="314" priority="135" operator="lessThan">
      <formula>0</formula>
    </cfRule>
  </conditionalFormatting>
  <conditionalFormatting sqref="G17">
    <cfRule type="cellIs" dxfId="313" priority="134" operator="lessThan">
      <formula>0</formula>
    </cfRule>
  </conditionalFormatting>
  <conditionalFormatting sqref="G5">
    <cfRule type="cellIs" dxfId="312" priority="133" operator="lessThan">
      <formula>0</formula>
    </cfRule>
  </conditionalFormatting>
  <conditionalFormatting sqref="E9:F9 E16:F16">
    <cfRule type="cellIs" dxfId="311" priority="132" operator="lessThan">
      <formula>0</formula>
    </cfRule>
  </conditionalFormatting>
  <conditionalFormatting sqref="E26:F27 E29:F30">
    <cfRule type="cellIs" dxfId="310" priority="131" operator="lessThan">
      <formula>0</formula>
    </cfRule>
  </conditionalFormatting>
  <conditionalFormatting sqref="E25:F25">
    <cfRule type="cellIs" dxfId="309" priority="129" operator="lessThan">
      <formula>0</formula>
    </cfRule>
  </conditionalFormatting>
  <conditionalFormatting sqref="E7:F8">
    <cfRule type="cellIs" dxfId="308" priority="126" operator="lessThan">
      <formula>0</formula>
    </cfRule>
  </conditionalFormatting>
  <conditionalFormatting sqref="E6:F6">
    <cfRule type="cellIs" dxfId="307" priority="127" operator="lessThan">
      <formula>0</formula>
    </cfRule>
  </conditionalFormatting>
  <conditionalFormatting sqref="E3:F4">
    <cfRule type="cellIs" dxfId="306" priority="128" operator="lessThan">
      <formula>0</formula>
    </cfRule>
  </conditionalFormatting>
  <conditionalFormatting sqref="E15:F15">
    <cfRule type="cellIs" dxfId="305" priority="130" operator="lessThan">
      <formula>0</formula>
    </cfRule>
  </conditionalFormatting>
  <conditionalFormatting sqref="E7:F8">
    <cfRule type="cellIs" dxfId="304" priority="125" operator="lessThan">
      <formula>0</formula>
    </cfRule>
  </conditionalFormatting>
  <conditionalFormatting sqref="E7:F7">
    <cfRule type="cellIs" dxfId="303" priority="124" operator="lessThan">
      <formula>0</formula>
    </cfRule>
  </conditionalFormatting>
  <conditionalFormatting sqref="E8:F8">
    <cfRule type="cellIs" dxfId="302" priority="123" operator="lessThan">
      <formula>0</formula>
    </cfRule>
  </conditionalFormatting>
  <conditionalFormatting sqref="E13:F13 E19:F19 E22:F22 E10:F11">
    <cfRule type="cellIs" dxfId="301" priority="122" operator="lessThan">
      <formula>0</formula>
    </cfRule>
  </conditionalFormatting>
  <conditionalFormatting sqref="E13:F13 E19:F19 E22:F22 E10:F11">
    <cfRule type="cellIs" dxfId="300" priority="121" operator="lessThan">
      <formula>0</formula>
    </cfRule>
  </conditionalFormatting>
  <conditionalFormatting sqref="E13:F13 E19:F19 E22:F22 E10:F11">
    <cfRule type="cellIs" dxfId="299" priority="120" operator="lessThan">
      <formula>0</formula>
    </cfRule>
  </conditionalFormatting>
  <conditionalFormatting sqref="E19:F19">
    <cfRule type="cellIs" dxfId="298" priority="119" operator="lessThan">
      <formula>0</formula>
    </cfRule>
  </conditionalFormatting>
  <conditionalFormatting sqref="E19:F19">
    <cfRule type="cellIs" dxfId="297" priority="118" operator="lessThan">
      <formula>0</formula>
    </cfRule>
  </conditionalFormatting>
  <conditionalFormatting sqref="E19:F19">
    <cfRule type="cellIs" dxfId="296" priority="117" operator="lessThan">
      <formula>0</formula>
    </cfRule>
  </conditionalFormatting>
  <conditionalFormatting sqref="E23:F23">
    <cfRule type="cellIs" dxfId="295" priority="116" operator="lessThan">
      <formula>0</formula>
    </cfRule>
  </conditionalFormatting>
  <conditionalFormatting sqref="E18:F18">
    <cfRule type="cellIs" dxfId="294" priority="109" operator="lessThan">
      <formula>0</formula>
    </cfRule>
  </conditionalFormatting>
  <conditionalFormatting sqref="E18:F18">
    <cfRule type="cellIs" dxfId="293" priority="108" operator="lessThan">
      <formula>0</formula>
    </cfRule>
  </conditionalFormatting>
  <conditionalFormatting sqref="E18:F18">
    <cfRule type="cellIs" dxfId="292" priority="107" operator="lessThan">
      <formula>0</formula>
    </cfRule>
  </conditionalFormatting>
  <conditionalFormatting sqref="E18:F18">
    <cfRule type="cellIs" dxfId="291" priority="106" operator="lessThan">
      <formula>0</formula>
    </cfRule>
  </conditionalFormatting>
  <conditionalFormatting sqref="E18:F18">
    <cfRule type="cellIs" dxfId="290" priority="105" operator="lessThan">
      <formula>0</formula>
    </cfRule>
  </conditionalFormatting>
  <conditionalFormatting sqref="E18:F18">
    <cfRule type="cellIs" dxfId="289" priority="104" operator="lessThan">
      <formula>0</formula>
    </cfRule>
  </conditionalFormatting>
  <conditionalFormatting sqref="E24:F24">
    <cfRule type="cellIs" dxfId="288" priority="103" operator="lessThan">
      <formula>0</formula>
    </cfRule>
  </conditionalFormatting>
  <conditionalFormatting sqref="E24:F24">
    <cfRule type="cellIs" dxfId="287" priority="102" operator="lessThan">
      <formula>0</formula>
    </cfRule>
  </conditionalFormatting>
  <conditionalFormatting sqref="E24:F24">
    <cfRule type="cellIs" dxfId="286" priority="101" operator="lessThan">
      <formula>0</formula>
    </cfRule>
  </conditionalFormatting>
  <conditionalFormatting sqref="E24:F24">
    <cfRule type="cellIs" dxfId="285" priority="100" operator="lessThan">
      <formula>0</formula>
    </cfRule>
  </conditionalFormatting>
  <conditionalFormatting sqref="E24:F24">
    <cfRule type="cellIs" dxfId="284" priority="99" operator="lessThan">
      <formula>0</formula>
    </cfRule>
  </conditionalFormatting>
  <conditionalFormatting sqref="E24:F24">
    <cfRule type="cellIs" dxfId="283" priority="98" operator="lessThan">
      <formula>0</formula>
    </cfRule>
  </conditionalFormatting>
  <conditionalFormatting sqref="E20:F20">
    <cfRule type="cellIs" dxfId="282" priority="97" operator="lessThan">
      <formula>0</formula>
    </cfRule>
  </conditionalFormatting>
  <conditionalFormatting sqref="E20:F20">
    <cfRule type="cellIs" dxfId="281" priority="96" operator="lessThan">
      <formula>0</formula>
    </cfRule>
  </conditionalFormatting>
  <conditionalFormatting sqref="E20:F20">
    <cfRule type="cellIs" dxfId="280" priority="95" operator="lessThan">
      <formula>0</formula>
    </cfRule>
  </conditionalFormatting>
  <conditionalFormatting sqref="E20:F20">
    <cfRule type="cellIs" dxfId="279" priority="94" operator="lessThan">
      <formula>0</formula>
    </cfRule>
  </conditionalFormatting>
  <conditionalFormatting sqref="E20:F20">
    <cfRule type="cellIs" dxfId="278" priority="93" operator="lessThan">
      <formula>0</formula>
    </cfRule>
  </conditionalFormatting>
  <conditionalFormatting sqref="E20:F20">
    <cfRule type="cellIs" dxfId="277" priority="92" operator="lessThan">
      <formula>0</formula>
    </cfRule>
  </conditionalFormatting>
  <conditionalFormatting sqref="E21:F21">
    <cfRule type="cellIs" dxfId="276" priority="87" operator="lessThan">
      <formula>0</formula>
    </cfRule>
  </conditionalFormatting>
  <conditionalFormatting sqref="E21:F21">
    <cfRule type="cellIs" dxfId="275" priority="86" operator="lessThan">
      <formula>0</formula>
    </cfRule>
  </conditionalFormatting>
  <conditionalFormatting sqref="E21:F21">
    <cfRule type="cellIs" dxfId="274" priority="90" operator="lessThan">
      <formula>0</formula>
    </cfRule>
  </conditionalFormatting>
  <conditionalFormatting sqref="E21:F21">
    <cfRule type="cellIs" dxfId="273" priority="91" operator="lessThan">
      <formula>0</formula>
    </cfRule>
  </conditionalFormatting>
  <conditionalFormatting sqref="E21:F21">
    <cfRule type="cellIs" dxfId="272" priority="89" operator="lessThan">
      <formula>0</formula>
    </cfRule>
  </conditionalFormatting>
  <conditionalFormatting sqref="E21:F21">
    <cfRule type="cellIs" dxfId="271" priority="88" operator="lessThan">
      <formula>0</formula>
    </cfRule>
  </conditionalFormatting>
  <conditionalFormatting sqref="E28:F28">
    <cfRule type="cellIs" dxfId="270" priority="85" operator="lessThan">
      <formula>0</formula>
    </cfRule>
  </conditionalFormatting>
  <conditionalFormatting sqref="E1:F1">
    <cfRule type="cellIs" dxfId="269" priority="84" operator="lessThan">
      <formula>0</formula>
    </cfRule>
  </conditionalFormatting>
  <conditionalFormatting sqref="E12:F12">
    <cfRule type="cellIs" dxfId="268" priority="82" operator="lessThan">
      <formula>0</formula>
    </cfRule>
  </conditionalFormatting>
  <conditionalFormatting sqref="E12:F12">
    <cfRule type="cellIs" dxfId="267" priority="81" operator="lessThan">
      <formula>0</formula>
    </cfRule>
  </conditionalFormatting>
  <conditionalFormatting sqref="E12:F12">
    <cfRule type="cellIs" dxfId="266" priority="80" operator="lessThan">
      <formula>0</formula>
    </cfRule>
  </conditionalFormatting>
  <conditionalFormatting sqref="E31:F31">
    <cfRule type="cellIs" dxfId="265" priority="79" operator="lessThan">
      <formula>0</formula>
    </cfRule>
  </conditionalFormatting>
  <conditionalFormatting sqref="E31:F31">
    <cfRule type="cellIs" dxfId="264" priority="78" operator="lessThan">
      <formula>0</formula>
    </cfRule>
  </conditionalFormatting>
  <conditionalFormatting sqref="E31:F31">
    <cfRule type="cellIs" dxfId="263" priority="77" operator="lessThan">
      <formula>0</formula>
    </cfRule>
  </conditionalFormatting>
  <conditionalFormatting sqref="E14:F14">
    <cfRule type="cellIs" dxfId="262" priority="76" operator="lessThan">
      <formula>0</formula>
    </cfRule>
  </conditionalFormatting>
  <conditionalFormatting sqref="E14:F14">
    <cfRule type="cellIs" dxfId="261" priority="75" operator="lessThan">
      <formula>0</formula>
    </cfRule>
  </conditionalFormatting>
  <conditionalFormatting sqref="E14:F14">
    <cfRule type="cellIs" dxfId="260" priority="74" operator="lessThan">
      <formula>0</formula>
    </cfRule>
  </conditionalFormatting>
  <conditionalFormatting sqref="E17:F17">
    <cfRule type="cellIs" dxfId="259" priority="73" operator="lessThan">
      <formula>0</formula>
    </cfRule>
  </conditionalFormatting>
  <conditionalFormatting sqref="E17:F17">
    <cfRule type="cellIs" dxfId="258" priority="72" operator="lessThan">
      <formula>0</formula>
    </cfRule>
  </conditionalFormatting>
  <conditionalFormatting sqref="E17:F17">
    <cfRule type="cellIs" dxfId="257" priority="71" operator="lessThan">
      <formula>0</formula>
    </cfRule>
  </conditionalFormatting>
  <conditionalFormatting sqref="E17:F17">
    <cfRule type="cellIs" dxfId="256" priority="70" operator="lessThan">
      <formula>0</formula>
    </cfRule>
  </conditionalFormatting>
  <conditionalFormatting sqref="E17:F17">
    <cfRule type="cellIs" dxfId="255" priority="69" operator="lessThan">
      <formula>0</formula>
    </cfRule>
  </conditionalFormatting>
  <conditionalFormatting sqref="E17:F17">
    <cfRule type="cellIs" dxfId="254" priority="68" operator="lessThan">
      <formula>0</formula>
    </cfRule>
  </conditionalFormatting>
  <conditionalFormatting sqref="E5:F5">
    <cfRule type="cellIs" dxfId="253" priority="67" operator="lessThan">
      <formula>0</formula>
    </cfRule>
  </conditionalFormatting>
  <conditionalFormatting sqref="D9 D16">
    <cfRule type="cellIs" dxfId="252" priority="66" operator="lessThan">
      <formula>0</formula>
    </cfRule>
  </conditionalFormatting>
  <conditionalFormatting sqref="D26:D27 D29:D30">
    <cfRule type="cellIs" dxfId="251" priority="65" operator="lessThan">
      <formula>0</formula>
    </cfRule>
  </conditionalFormatting>
  <conditionalFormatting sqref="D25">
    <cfRule type="cellIs" dxfId="250" priority="63" operator="lessThan">
      <formula>0</formula>
    </cfRule>
  </conditionalFormatting>
  <conditionalFormatting sqref="D7:D8">
    <cfRule type="cellIs" dxfId="249" priority="60" operator="lessThan">
      <formula>0</formula>
    </cfRule>
  </conditionalFormatting>
  <conditionalFormatting sqref="D6">
    <cfRule type="cellIs" dxfId="248" priority="61" operator="lessThan">
      <formula>0</formula>
    </cfRule>
  </conditionalFormatting>
  <conditionalFormatting sqref="D3:D4">
    <cfRule type="cellIs" dxfId="247" priority="62" operator="lessThan">
      <formula>0</formula>
    </cfRule>
  </conditionalFormatting>
  <conditionalFormatting sqref="D15">
    <cfRule type="cellIs" dxfId="246" priority="64" operator="lessThan">
      <formula>0</formula>
    </cfRule>
  </conditionalFormatting>
  <conditionalFormatting sqref="D7:D8">
    <cfRule type="cellIs" dxfId="245" priority="59" operator="lessThan">
      <formula>0</formula>
    </cfRule>
  </conditionalFormatting>
  <conditionalFormatting sqref="D7">
    <cfRule type="cellIs" dxfId="244" priority="58" operator="lessThan">
      <formula>0</formula>
    </cfRule>
  </conditionalFormatting>
  <conditionalFormatting sqref="D8">
    <cfRule type="cellIs" dxfId="243" priority="57" operator="lessThan">
      <formula>0</formula>
    </cfRule>
  </conditionalFormatting>
  <conditionalFormatting sqref="D13 D19 D22 D10:D11">
    <cfRule type="cellIs" dxfId="242" priority="56" operator="lessThan">
      <formula>0</formula>
    </cfRule>
  </conditionalFormatting>
  <conditionalFormatting sqref="D13 D19 D22 D10:D11">
    <cfRule type="cellIs" dxfId="241" priority="55" operator="lessThan">
      <formula>0</formula>
    </cfRule>
  </conditionalFormatting>
  <conditionalFormatting sqref="D13 D19 D22 D10:D11">
    <cfRule type="cellIs" dxfId="240" priority="54" operator="lessThan">
      <formula>0</formula>
    </cfRule>
  </conditionalFormatting>
  <conditionalFormatting sqref="D19">
    <cfRule type="cellIs" dxfId="239" priority="53" operator="lessThan">
      <formula>0</formula>
    </cfRule>
  </conditionalFormatting>
  <conditionalFormatting sqref="D19">
    <cfRule type="cellIs" dxfId="238" priority="52" operator="lessThan">
      <formula>0</formula>
    </cfRule>
  </conditionalFormatting>
  <conditionalFormatting sqref="D19">
    <cfRule type="cellIs" dxfId="237" priority="51" operator="lessThan">
      <formula>0</formula>
    </cfRule>
  </conditionalFormatting>
  <conditionalFormatting sqref="D23">
    <cfRule type="cellIs" dxfId="236" priority="50" operator="lessThan">
      <formula>0</formula>
    </cfRule>
  </conditionalFormatting>
  <conditionalFormatting sqref="D18">
    <cfRule type="cellIs" dxfId="235" priority="43" operator="lessThan">
      <formula>0</formula>
    </cfRule>
  </conditionalFormatting>
  <conditionalFormatting sqref="D18">
    <cfRule type="cellIs" dxfId="234" priority="42" operator="lessThan">
      <formula>0</formula>
    </cfRule>
  </conditionalFormatting>
  <conditionalFormatting sqref="D18">
    <cfRule type="cellIs" dxfId="233" priority="41" operator="lessThan">
      <formula>0</formula>
    </cfRule>
  </conditionalFormatting>
  <conditionalFormatting sqref="D18">
    <cfRule type="cellIs" dxfId="232" priority="40" operator="lessThan">
      <formula>0</formula>
    </cfRule>
  </conditionalFormatting>
  <conditionalFormatting sqref="D18">
    <cfRule type="cellIs" dxfId="231" priority="39" operator="lessThan">
      <formula>0</formula>
    </cfRule>
  </conditionalFormatting>
  <conditionalFormatting sqref="D18">
    <cfRule type="cellIs" dxfId="230" priority="38" operator="lessThan">
      <formula>0</formula>
    </cfRule>
  </conditionalFormatting>
  <conditionalFormatting sqref="D24">
    <cfRule type="cellIs" dxfId="229" priority="37" operator="lessThan">
      <formula>0</formula>
    </cfRule>
  </conditionalFormatting>
  <conditionalFormatting sqref="D24">
    <cfRule type="cellIs" dxfId="228" priority="36" operator="lessThan">
      <formula>0</formula>
    </cfRule>
  </conditionalFormatting>
  <conditionalFormatting sqref="D24">
    <cfRule type="cellIs" dxfId="227" priority="35" operator="lessThan">
      <formula>0</formula>
    </cfRule>
  </conditionalFormatting>
  <conditionalFormatting sqref="D24">
    <cfRule type="cellIs" dxfId="226" priority="34" operator="lessThan">
      <formula>0</formula>
    </cfRule>
  </conditionalFormatting>
  <conditionalFormatting sqref="D24">
    <cfRule type="cellIs" dxfId="225" priority="33" operator="lessThan">
      <formula>0</formula>
    </cfRule>
  </conditionalFormatting>
  <conditionalFormatting sqref="D24">
    <cfRule type="cellIs" dxfId="224" priority="32" operator="lessThan">
      <formula>0</formula>
    </cfRule>
  </conditionalFormatting>
  <conditionalFormatting sqref="D20">
    <cfRule type="cellIs" dxfId="223" priority="31" operator="lessThan">
      <formula>0</formula>
    </cfRule>
  </conditionalFormatting>
  <conditionalFormatting sqref="D20">
    <cfRule type="cellIs" dxfId="222" priority="30" operator="lessThan">
      <formula>0</formula>
    </cfRule>
  </conditionalFormatting>
  <conditionalFormatting sqref="D20">
    <cfRule type="cellIs" dxfId="221" priority="29" operator="lessThan">
      <formula>0</formula>
    </cfRule>
  </conditionalFormatting>
  <conditionalFormatting sqref="D20">
    <cfRule type="cellIs" dxfId="220" priority="28" operator="lessThan">
      <formula>0</formula>
    </cfRule>
  </conditionalFormatting>
  <conditionalFormatting sqref="D20">
    <cfRule type="cellIs" dxfId="219" priority="27" operator="lessThan">
      <formula>0</formula>
    </cfRule>
  </conditionalFormatting>
  <conditionalFormatting sqref="D20">
    <cfRule type="cellIs" dxfId="218" priority="26" operator="lessThan">
      <formula>0</formula>
    </cfRule>
  </conditionalFormatting>
  <conditionalFormatting sqref="D21">
    <cfRule type="cellIs" dxfId="217" priority="21" operator="lessThan">
      <formula>0</formula>
    </cfRule>
  </conditionalFormatting>
  <conditionalFormatting sqref="D21">
    <cfRule type="cellIs" dxfId="216" priority="20" operator="lessThan">
      <formula>0</formula>
    </cfRule>
  </conditionalFormatting>
  <conditionalFormatting sqref="D21">
    <cfRule type="cellIs" dxfId="215" priority="24" operator="lessThan">
      <formula>0</formula>
    </cfRule>
  </conditionalFormatting>
  <conditionalFormatting sqref="D21">
    <cfRule type="cellIs" dxfId="214" priority="25" operator="lessThan">
      <formula>0</formula>
    </cfRule>
  </conditionalFormatting>
  <conditionalFormatting sqref="D21">
    <cfRule type="cellIs" dxfId="213" priority="23" operator="lessThan">
      <formula>0</formula>
    </cfRule>
  </conditionalFormatting>
  <conditionalFormatting sqref="D21">
    <cfRule type="cellIs" dxfId="212" priority="22" operator="lessThan">
      <formula>0</formula>
    </cfRule>
  </conditionalFormatting>
  <conditionalFormatting sqref="D28">
    <cfRule type="cellIs" dxfId="211" priority="19" operator="lessThan">
      <formula>0</formula>
    </cfRule>
  </conditionalFormatting>
  <conditionalFormatting sqref="D1">
    <cfRule type="cellIs" dxfId="210" priority="18" operator="lessThan">
      <formula>0</formula>
    </cfRule>
  </conditionalFormatting>
  <conditionalFormatting sqref="D12">
    <cfRule type="cellIs" dxfId="209" priority="16" operator="lessThan">
      <formula>0</formula>
    </cfRule>
  </conditionalFormatting>
  <conditionalFormatting sqref="D12">
    <cfRule type="cellIs" dxfId="208" priority="15" operator="lessThan">
      <formula>0</formula>
    </cfRule>
  </conditionalFormatting>
  <conditionalFormatting sqref="D12">
    <cfRule type="cellIs" dxfId="207" priority="14" operator="lessThan">
      <formula>0</formula>
    </cfRule>
  </conditionalFormatting>
  <conditionalFormatting sqref="D31">
    <cfRule type="cellIs" dxfId="206" priority="13" operator="lessThan">
      <formula>0</formula>
    </cfRule>
  </conditionalFormatting>
  <conditionalFormatting sqref="D31">
    <cfRule type="cellIs" dxfId="205" priority="12" operator="lessThan">
      <formula>0</formula>
    </cfRule>
  </conditionalFormatting>
  <conditionalFormatting sqref="D31">
    <cfRule type="cellIs" dxfId="204" priority="11" operator="lessThan">
      <formula>0</formula>
    </cfRule>
  </conditionalFormatting>
  <conditionalFormatting sqref="D14">
    <cfRule type="cellIs" dxfId="203" priority="10" operator="lessThan">
      <formula>0</formula>
    </cfRule>
  </conditionalFormatting>
  <conditionalFormatting sqref="D14">
    <cfRule type="cellIs" dxfId="202" priority="9" operator="lessThan">
      <formula>0</formula>
    </cfRule>
  </conditionalFormatting>
  <conditionalFormatting sqref="D14">
    <cfRule type="cellIs" dxfId="201" priority="8" operator="lessThan">
      <formula>0</formula>
    </cfRule>
  </conditionalFormatting>
  <conditionalFormatting sqref="D17">
    <cfRule type="cellIs" dxfId="200" priority="7" operator="lessThan">
      <formula>0</formula>
    </cfRule>
  </conditionalFormatting>
  <conditionalFormatting sqref="D17">
    <cfRule type="cellIs" dxfId="199" priority="6" operator="lessThan">
      <formula>0</formula>
    </cfRule>
  </conditionalFormatting>
  <conditionalFormatting sqref="D17">
    <cfRule type="cellIs" dxfId="198" priority="5" operator="lessThan">
      <formula>0</formula>
    </cfRule>
  </conditionalFormatting>
  <conditionalFormatting sqref="D17">
    <cfRule type="cellIs" dxfId="197" priority="4" operator="lessThan">
      <formula>0</formula>
    </cfRule>
  </conditionalFormatting>
  <conditionalFormatting sqref="D17">
    <cfRule type="cellIs" dxfId="196" priority="3" operator="lessThan">
      <formula>0</formula>
    </cfRule>
  </conditionalFormatting>
  <conditionalFormatting sqref="D17">
    <cfRule type="cellIs" dxfId="195" priority="2" operator="lessThan">
      <formula>0</formula>
    </cfRule>
  </conditionalFormatting>
  <conditionalFormatting sqref="D5">
    <cfRule type="cellIs" dxfId="194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M4 L15 L25 L23 J23:K23 M23 J25:K25 M25 I25 I23 G23 D21:E21 D23:E23 G25" formula="1"/>
    <ignoredError sqref="D25:E25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4"/>
  <dimension ref="A1:AA35"/>
  <sheetViews>
    <sheetView showGridLines="0" zoomScale="90" zoomScaleNormal="90" workbookViewId="0">
      <pane ySplit="4" topLeftCell="A5" activePane="bottomLeft" state="frozen"/>
      <selection activeCell="B3" sqref="B3:E34"/>
      <selection pane="bottomLeft" activeCell="AL9" sqref="AL9"/>
    </sheetView>
  </sheetViews>
  <sheetFormatPr defaultColWidth="8.85546875" defaultRowHeight="12"/>
  <cols>
    <col min="1" max="1" width="1.7109375" style="199" customWidth="1"/>
    <col min="2" max="2" width="40.5703125" style="199" customWidth="1"/>
    <col min="3" max="3" width="11.5703125" style="199" customWidth="1"/>
    <col min="4" max="5" width="14.42578125" style="222" customWidth="1"/>
    <col min="6" max="6" width="12.140625" style="222" hidden="1" customWidth="1"/>
    <col min="7" max="7" width="15.7109375" style="222" hidden="1" customWidth="1"/>
    <col min="8" max="9" width="12.140625" style="222" hidden="1" customWidth="1"/>
    <col min="10" max="10" width="15.7109375" style="222" hidden="1" customWidth="1"/>
    <col min="11" max="11" width="12.140625" style="222" hidden="1" customWidth="1"/>
    <col min="12" max="12" width="15.7109375" style="222" hidden="1" customWidth="1"/>
    <col min="13" max="16" width="12.140625" style="222" hidden="1" customWidth="1"/>
    <col min="17" max="21" width="15.7109375" style="222" hidden="1" customWidth="1"/>
    <col min="22" max="22" width="11.28515625" style="222" hidden="1" customWidth="1"/>
    <col min="23" max="26" width="15.7109375" style="222" hidden="1" customWidth="1"/>
    <col min="27" max="27" width="3" style="199" customWidth="1" collapsed="1"/>
    <col min="28" max="16384" width="8.85546875" style="199"/>
  </cols>
  <sheetData>
    <row r="1" spans="1:27">
      <c r="H1" s="222" t="s">
        <v>1356</v>
      </c>
      <c r="I1" s="222" t="s">
        <v>1356</v>
      </c>
    </row>
    <row r="3" spans="1:27" s="196" customFormat="1" ht="15" customHeight="1">
      <c r="A3" s="195"/>
      <c r="B3" s="469" t="s">
        <v>1360</v>
      </c>
      <c r="C3" s="470"/>
      <c r="D3" s="467" t="s">
        <v>1358</v>
      </c>
      <c r="E3" s="467" t="s">
        <v>1333</v>
      </c>
      <c r="F3" s="467">
        <v>2020</v>
      </c>
      <c r="G3" s="467">
        <v>2019</v>
      </c>
      <c r="H3" s="467" t="s">
        <v>1357</v>
      </c>
      <c r="I3" s="467" t="s">
        <v>1351</v>
      </c>
      <c r="J3" s="467" t="s">
        <v>1303</v>
      </c>
      <c r="K3" s="467" t="s">
        <v>1352</v>
      </c>
      <c r="L3" s="467" t="s">
        <v>1305</v>
      </c>
      <c r="M3" s="467" t="s">
        <v>1341</v>
      </c>
      <c r="N3" s="467" t="s">
        <v>1283</v>
      </c>
      <c r="O3" s="467" t="s">
        <v>1345</v>
      </c>
      <c r="P3" s="467" t="s">
        <v>1285</v>
      </c>
      <c r="Q3" s="467" t="s">
        <v>1331</v>
      </c>
      <c r="R3" s="467" t="s">
        <v>1304</v>
      </c>
      <c r="S3" s="467" t="s">
        <v>1306</v>
      </c>
      <c r="T3" s="467" t="s">
        <v>1284</v>
      </c>
      <c r="U3" s="467" t="s">
        <v>1286</v>
      </c>
      <c r="V3" s="467" t="s">
        <v>1280</v>
      </c>
      <c r="W3" s="467" t="s">
        <v>1281</v>
      </c>
      <c r="X3" s="467" t="s">
        <v>1314</v>
      </c>
      <c r="Y3" s="467">
        <v>2018</v>
      </c>
      <c r="Z3" s="467">
        <v>2017</v>
      </c>
    </row>
    <row r="4" spans="1:27" s="196" customFormat="1" ht="15" customHeight="1">
      <c r="A4" s="225"/>
      <c r="B4" s="471"/>
      <c r="C4" s="472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</row>
    <row r="5" spans="1:27" ht="20.100000000000001" customHeight="1">
      <c r="B5" s="236" t="s">
        <v>1137</v>
      </c>
      <c r="C5" s="237"/>
      <c r="D5" s="209">
        <f t="shared" ref="D5:P5" si="0">D6</f>
        <v>26828000</v>
      </c>
      <c r="E5" s="209">
        <f>E6</f>
        <v>45496000</v>
      </c>
      <c r="F5" s="209">
        <f t="shared" si="0"/>
        <v>745368000</v>
      </c>
      <c r="G5" s="209">
        <f>G6</f>
        <v>480179000</v>
      </c>
      <c r="H5" s="209">
        <f t="shared" si="0"/>
        <v>96084000</v>
      </c>
      <c r="I5" s="209">
        <f t="shared" si="0"/>
        <v>439911000</v>
      </c>
      <c r="J5" s="209">
        <f t="shared" si="0"/>
        <v>276832000</v>
      </c>
      <c r="K5" s="209">
        <f t="shared" si="0"/>
        <v>649284000</v>
      </c>
      <c r="L5" s="209">
        <f t="shared" si="0"/>
        <v>365818000</v>
      </c>
      <c r="M5" s="209">
        <f t="shared" si="0"/>
        <v>163877000</v>
      </c>
      <c r="N5" s="209">
        <f t="shared" si="0"/>
        <v>67933000</v>
      </c>
      <c r="O5" s="209">
        <f t="shared" si="0"/>
        <v>209373000</v>
      </c>
      <c r="P5" s="209">
        <f t="shared" si="0"/>
        <v>88987000</v>
      </c>
      <c r="Q5" s="209">
        <f t="shared" ref="Q5:Z5" si="1">Q6</f>
        <v>114360000</v>
      </c>
      <c r="R5" s="209">
        <f t="shared" si="1"/>
        <v>22158000</v>
      </c>
      <c r="S5" s="209">
        <f t="shared" si="1"/>
        <v>74229000</v>
      </c>
      <c r="T5" s="209">
        <f t="shared" si="1"/>
        <v>35954000</v>
      </c>
      <c r="U5" s="209">
        <f t="shared" si="1"/>
        <v>52071000</v>
      </c>
      <c r="V5" s="209">
        <f>V6</f>
        <v>21054000</v>
      </c>
      <c r="W5" s="209">
        <f t="shared" si="1"/>
        <v>16117000</v>
      </c>
      <c r="X5" s="209">
        <f t="shared" si="1"/>
        <v>-10787000</v>
      </c>
      <c r="Y5" s="209">
        <f t="shared" si="1"/>
        <v>63443000</v>
      </c>
      <c r="Z5" s="209">
        <f t="shared" si="1"/>
        <v>-20082000</v>
      </c>
      <c r="AA5" s="391"/>
    </row>
    <row r="6" spans="1:27" ht="20.100000000000001" customHeight="1">
      <c r="B6" s="231" t="s">
        <v>1338</v>
      </c>
      <c r="C6" s="232" t="s">
        <v>1379</v>
      </c>
      <c r="D6" s="233">
        <v>26828000</v>
      </c>
      <c r="E6" s="233">
        <v>45496000</v>
      </c>
      <c r="F6" s="233">
        <v>745368000</v>
      </c>
      <c r="G6" s="233">
        <v>480179000</v>
      </c>
      <c r="H6" s="233">
        <v>96084000</v>
      </c>
      <c r="I6" s="233">
        <v>439911000</v>
      </c>
      <c r="J6" s="233">
        <v>276832000</v>
      </c>
      <c r="K6" s="233">
        <v>649284000</v>
      </c>
      <c r="L6" s="233">
        <v>365818000</v>
      </c>
      <c r="M6" s="233">
        <v>163877000</v>
      </c>
      <c r="N6" s="233">
        <v>67933000</v>
      </c>
      <c r="O6" s="233">
        <v>209373000</v>
      </c>
      <c r="P6" s="233">
        <v>88987000</v>
      </c>
      <c r="Q6" s="233">
        <v>114360000</v>
      </c>
      <c r="R6" s="233">
        <v>22158000</v>
      </c>
      <c r="S6" s="233">
        <v>74229000</v>
      </c>
      <c r="T6" s="233">
        <v>35954000</v>
      </c>
      <c r="U6" s="233">
        <v>52071000</v>
      </c>
      <c r="V6" s="233">
        <v>21054000</v>
      </c>
      <c r="W6" s="233">
        <v>16117000</v>
      </c>
      <c r="X6" s="233">
        <v>-10787000</v>
      </c>
      <c r="Y6" s="233">
        <v>63443000</v>
      </c>
      <c r="Z6" s="233">
        <v>-20082000</v>
      </c>
    </row>
    <row r="7" spans="1:27" ht="20.100000000000001" customHeight="1">
      <c r="B7" s="229" t="s">
        <v>1138</v>
      </c>
      <c r="C7" s="230"/>
      <c r="D7" s="234">
        <f>SUM(D8:D13)</f>
        <v>-27067000</v>
      </c>
      <c r="E7" s="234">
        <f>SUM(E8:E13)</f>
        <v>-9059000</v>
      </c>
      <c r="F7" s="234">
        <f>SUM(F8:F13)</f>
        <v>-60942000</v>
      </c>
      <c r="G7" s="234">
        <f>ROUND(SUM(G8:G12),-3)</f>
        <v>-74545000</v>
      </c>
      <c r="H7" s="234">
        <f>SUM(H8:H13)</f>
        <v>-17305000</v>
      </c>
      <c r="I7" s="234">
        <f>SUM(I8:I13)</f>
        <v>-23882000</v>
      </c>
      <c r="J7" s="234">
        <f>SUM(J8:J12)</f>
        <v>-30326000</v>
      </c>
      <c r="K7" s="234">
        <f>SUM(K8:K13)</f>
        <v>-43637000</v>
      </c>
      <c r="L7" s="234">
        <f>SUM(L8:L12)</f>
        <v>-52657000</v>
      </c>
      <c r="M7" s="234">
        <f>SUM(M8:M13)</f>
        <v>-10698000</v>
      </c>
      <c r="N7" s="234">
        <f>SUM(N8:N12)</f>
        <v>-11936000</v>
      </c>
      <c r="O7" s="234">
        <f>SUM(O8:O13)</f>
        <v>-19757000</v>
      </c>
      <c r="P7" s="234">
        <f>SUM(P8:P12)</f>
        <v>-22329000</v>
      </c>
      <c r="Q7" s="234">
        <f t="shared" ref="Q7" si="2">SUM(Q8:Q12)</f>
        <v>-21888000</v>
      </c>
      <c r="R7" s="234">
        <f t="shared" ref="R7:X7" si="3">SUM(R8:R12)</f>
        <v>-14044000</v>
      </c>
      <c r="S7" s="234">
        <f t="shared" si="3"/>
        <v>-26739000</v>
      </c>
      <c r="T7" s="234">
        <f t="shared" si="3"/>
        <v>-8335000</v>
      </c>
      <c r="U7" s="234">
        <f t="shared" si="3"/>
        <v>-12696000</v>
      </c>
      <c r="V7" s="234">
        <f>SUM(V8:V13)</f>
        <v>-10393000</v>
      </c>
      <c r="W7" s="234">
        <f t="shared" si="3"/>
        <v>-4360000</v>
      </c>
      <c r="X7" s="234">
        <f t="shared" si="3"/>
        <v>-95165000</v>
      </c>
      <c r="Y7" s="234">
        <f>SUM(Y8:Y12)</f>
        <v>-121904000</v>
      </c>
      <c r="Z7" s="234">
        <f t="shared" ref="Z7" si="4">SUM(Z8:Z12)</f>
        <v>-21765000</v>
      </c>
    </row>
    <row r="8" spans="1:27" ht="20.100000000000001" customHeight="1">
      <c r="B8" s="231" t="s">
        <v>1115</v>
      </c>
      <c r="C8" s="232" t="s">
        <v>1322</v>
      </c>
      <c r="D8" s="233">
        <v>-7504000</v>
      </c>
      <c r="E8" s="233">
        <v>-9487000</v>
      </c>
      <c r="F8" s="233">
        <v>-32718000</v>
      </c>
      <c r="G8" s="233">
        <v>-33758611</v>
      </c>
      <c r="H8" s="233">
        <v>-8871000</v>
      </c>
      <c r="I8" s="233">
        <v>-6788000</v>
      </c>
      <c r="J8" s="233">
        <v>-9306000</v>
      </c>
      <c r="K8" s="233">
        <v>-23847000</v>
      </c>
      <c r="L8" s="233">
        <v>-24154000</v>
      </c>
      <c r="M8" s="233">
        <v>-7573000</v>
      </c>
      <c r="N8" s="233">
        <v>-8464000</v>
      </c>
      <c r="O8" s="233">
        <v>-17061000</v>
      </c>
      <c r="P8" s="233">
        <v>-14845000</v>
      </c>
      <c r="Q8" s="233">
        <v>-9607000</v>
      </c>
      <c r="R8" s="233">
        <v>-8389000</v>
      </c>
      <c r="S8" s="233">
        <v>-18678000</v>
      </c>
      <c r="T8" s="233">
        <v>-6494000</v>
      </c>
      <c r="U8" s="233">
        <v>-10291000</v>
      </c>
      <c r="V8" s="233">
        <v>-6381000</v>
      </c>
      <c r="W8" s="233">
        <v>-3797000</v>
      </c>
      <c r="X8" s="233">
        <v>-7680000</v>
      </c>
      <c r="Y8" s="233">
        <v>-26359000</v>
      </c>
      <c r="Z8" s="233">
        <v>-16695000</v>
      </c>
    </row>
    <row r="9" spans="1:27" ht="20.100000000000001" customHeight="1">
      <c r="B9" s="231" t="s">
        <v>1124</v>
      </c>
      <c r="C9" s="232" t="s">
        <v>1228</v>
      </c>
      <c r="D9" s="233">
        <v>3228000</v>
      </c>
      <c r="E9" s="233">
        <v>-2614000</v>
      </c>
      <c r="F9" s="233">
        <v>-12792000</v>
      </c>
      <c r="G9" s="233">
        <v>-9896000</v>
      </c>
      <c r="H9" s="233">
        <v>-7011000</v>
      </c>
      <c r="I9" s="233">
        <v>-978000</v>
      </c>
      <c r="J9" s="233">
        <v>-2452000</v>
      </c>
      <c r="K9" s="233">
        <v>-5781000</v>
      </c>
      <c r="L9" s="233">
        <v>-6804000</v>
      </c>
      <c r="M9" s="233">
        <v>-2190000</v>
      </c>
      <c r="N9" s="233">
        <v>-2286000</v>
      </c>
      <c r="O9" s="233">
        <v>-4804000</v>
      </c>
      <c r="P9" s="233">
        <v>-4352000</v>
      </c>
      <c r="Q9" s="233">
        <v>-3092000</v>
      </c>
      <c r="R9" s="233">
        <v>-5547000</v>
      </c>
      <c r="S9" s="233">
        <v>-8091000</v>
      </c>
      <c r="T9" s="233">
        <v>-1871000</v>
      </c>
      <c r="U9" s="233">
        <v>-2544000</v>
      </c>
      <c r="V9" s="233">
        <v>-2066000</v>
      </c>
      <c r="W9" s="233">
        <v>-672000</v>
      </c>
      <c r="X9" s="233">
        <v>11000</v>
      </c>
      <c r="Y9" s="233">
        <v>-8080000</v>
      </c>
      <c r="Z9" s="233">
        <v>-5102000</v>
      </c>
    </row>
    <row r="10" spans="1:27" ht="20.100000000000001" customHeight="1">
      <c r="A10" s="226"/>
      <c r="B10" s="231" t="s">
        <v>363</v>
      </c>
      <c r="C10" s="232" t="s">
        <v>1228</v>
      </c>
      <c r="D10" s="233">
        <v>567000</v>
      </c>
      <c r="E10" s="233">
        <v>115000</v>
      </c>
      <c r="F10" s="233">
        <v>6281000</v>
      </c>
      <c r="G10" s="233">
        <v>882000</v>
      </c>
      <c r="H10" s="233">
        <v>4925000</v>
      </c>
      <c r="I10" s="233">
        <v>17000</v>
      </c>
      <c r="J10" s="233">
        <v>199000</v>
      </c>
      <c r="K10" s="233">
        <v>1356000</v>
      </c>
      <c r="L10" s="233">
        <v>729000</v>
      </c>
      <c r="M10" s="233">
        <v>1223000</v>
      </c>
      <c r="N10" s="233">
        <v>249000</v>
      </c>
      <c r="O10" s="233">
        <v>1339000</v>
      </c>
      <c r="P10" s="233">
        <v>529000</v>
      </c>
      <c r="Q10" s="233">
        <v>154000</v>
      </c>
      <c r="R10" s="233">
        <v>25000</v>
      </c>
      <c r="S10" s="233">
        <v>164000</v>
      </c>
      <c r="T10" s="233">
        <v>30000</v>
      </c>
      <c r="U10" s="233">
        <v>139000</v>
      </c>
      <c r="V10" s="233">
        <v>280000</v>
      </c>
      <c r="W10" s="233">
        <v>109000</v>
      </c>
      <c r="X10" s="233">
        <v>1039000</v>
      </c>
      <c r="Y10" s="233">
        <v>1203000</v>
      </c>
      <c r="Z10" s="233">
        <v>48000</v>
      </c>
    </row>
    <row r="11" spans="1:27" ht="20.100000000000001" customHeight="1">
      <c r="B11" s="231" t="s">
        <v>261</v>
      </c>
      <c r="C11" s="232" t="s">
        <v>1228</v>
      </c>
      <c r="D11" s="233">
        <v>-2095000</v>
      </c>
      <c r="E11" s="233">
        <v>-853000</v>
      </c>
      <c r="F11" s="233">
        <v>-13884000</v>
      </c>
      <c r="G11" s="233">
        <v>-16416000</v>
      </c>
      <c r="H11" s="233">
        <v>-15000</v>
      </c>
      <c r="I11" s="233">
        <v>-13014000</v>
      </c>
      <c r="J11" s="233">
        <v>-16397000</v>
      </c>
      <c r="K11" s="233">
        <v>-13868000</v>
      </c>
      <c r="L11" s="233">
        <v>-16416000</v>
      </c>
      <c r="M11" s="233">
        <v>-1000</v>
      </c>
      <c r="N11" s="233">
        <v>0</v>
      </c>
      <c r="O11" s="233">
        <v>-854000</v>
      </c>
      <c r="P11" s="233">
        <v>-19000</v>
      </c>
      <c r="Q11" s="233">
        <v>0</v>
      </c>
      <c r="R11" s="233">
        <v>-133000</v>
      </c>
      <c r="S11" s="233">
        <v>-133000</v>
      </c>
      <c r="T11" s="233">
        <v>0</v>
      </c>
      <c r="U11" s="233">
        <v>0</v>
      </c>
      <c r="V11" s="233">
        <v>-19000</v>
      </c>
      <c r="W11" s="233">
        <v>0</v>
      </c>
      <c r="X11" s="233">
        <v>-769000</v>
      </c>
      <c r="Y11" s="233">
        <v>-901000</v>
      </c>
      <c r="Z11" s="233">
        <v>-16000</v>
      </c>
    </row>
    <row r="12" spans="1:27" ht="20.100000000000001" customHeight="1">
      <c r="B12" s="231" t="s">
        <v>1278</v>
      </c>
      <c r="C12" s="232" t="s">
        <v>1228</v>
      </c>
      <c r="D12" s="233">
        <v>-98835000</v>
      </c>
      <c r="E12" s="233">
        <v>-1226000</v>
      </c>
      <c r="F12" s="233">
        <v>-13225000</v>
      </c>
      <c r="G12" s="233">
        <v>-15356000</v>
      </c>
      <c r="H12" s="233">
        <v>-6333000</v>
      </c>
      <c r="I12" s="233">
        <v>-3389000</v>
      </c>
      <c r="J12" s="233">
        <v>-2370000</v>
      </c>
      <c r="K12" s="233">
        <v>-6893000</v>
      </c>
      <c r="L12" s="233">
        <v>-6012000</v>
      </c>
      <c r="M12" s="233">
        <v>-2277000</v>
      </c>
      <c r="N12" s="233">
        <v>-1435000</v>
      </c>
      <c r="O12" s="233">
        <v>-3503000</v>
      </c>
      <c r="P12" s="233">
        <v>-3642000</v>
      </c>
      <c r="Q12" s="233">
        <v>-9343000</v>
      </c>
      <c r="R12" s="233">
        <v>0</v>
      </c>
      <c r="S12" s="233">
        <v>-1000</v>
      </c>
      <c r="T12" s="233">
        <v>0</v>
      </c>
      <c r="U12" s="233">
        <v>0</v>
      </c>
      <c r="V12" s="233">
        <v>-2207000</v>
      </c>
      <c r="W12" s="233">
        <v>0</v>
      </c>
      <c r="X12" s="233">
        <v>-87766000</v>
      </c>
      <c r="Y12" s="233">
        <v>-87767000</v>
      </c>
      <c r="Z12" s="233">
        <v>0</v>
      </c>
    </row>
    <row r="13" spans="1:27" ht="20.100000000000001" customHeight="1">
      <c r="B13" s="231" t="s">
        <v>1334</v>
      </c>
      <c r="C13" s="232" t="s">
        <v>1228</v>
      </c>
      <c r="D13" s="233">
        <v>77572000</v>
      </c>
      <c r="E13" s="233">
        <v>5006000</v>
      </c>
      <c r="F13" s="233">
        <v>5396000</v>
      </c>
      <c r="G13" s="233"/>
      <c r="H13" s="233">
        <v>0</v>
      </c>
      <c r="I13" s="233">
        <v>270000</v>
      </c>
      <c r="J13" s="233">
        <v>0</v>
      </c>
      <c r="K13" s="233">
        <v>5396000</v>
      </c>
      <c r="L13" s="233">
        <v>0</v>
      </c>
      <c r="M13" s="233">
        <v>120000</v>
      </c>
      <c r="N13" s="233">
        <v>0</v>
      </c>
      <c r="O13" s="233">
        <v>5126000</v>
      </c>
      <c r="P13" s="233">
        <v>0</v>
      </c>
      <c r="Q13" s="233"/>
      <c r="R13" s="233"/>
      <c r="S13" s="233"/>
      <c r="T13" s="233"/>
      <c r="U13" s="233"/>
      <c r="V13" s="233">
        <v>0</v>
      </c>
      <c r="W13" s="233">
        <v>0</v>
      </c>
      <c r="X13" s="233">
        <v>0</v>
      </c>
      <c r="Y13" s="233">
        <v>0</v>
      </c>
      <c r="Z13" s="233">
        <v>0</v>
      </c>
    </row>
    <row r="14" spans="1:27" ht="20.100000000000001" customHeight="1">
      <c r="B14" s="229" t="s">
        <v>1139</v>
      </c>
      <c r="C14" s="232"/>
      <c r="D14" s="234">
        <f t="shared" ref="D14:F14" si="5">D5+D7</f>
        <v>-239000</v>
      </c>
      <c r="E14" s="234">
        <f>E5+E7</f>
        <v>36437000</v>
      </c>
      <c r="F14" s="234">
        <f t="shared" si="5"/>
        <v>684426000</v>
      </c>
      <c r="G14" s="234">
        <f>G5+G7</f>
        <v>405634000</v>
      </c>
      <c r="H14" s="234">
        <f t="shared" ref="H14" si="6">H5+H7</f>
        <v>78779000</v>
      </c>
      <c r="I14" s="234">
        <f t="shared" ref="I14:K14" si="7">I5+I7</f>
        <v>416029000</v>
      </c>
      <c r="J14" s="234">
        <f>J5+J7</f>
        <v>246506000</v>
      </c>
      <c r="K14" s="234">
        <f t="shared" si="7"/>
        <v>605647000</v>
      </c>
      <c r="L14" s="234">
        <f>L5+L7</f>
        <v>313161000</v>
      </c>
      <c r="M14" s="234">
        <f t="shared" ref="M14:P14" si="8">M5+M7</f>
        <v>153179000</v>
      </c>
      <c r="N14" s="234">
        <f t="shared" si="8"/>
        <v>55997000</v>
      </c>
      <c r="O14" s="234">
        <f t="shared" si="8"/>
        <v>189616000</v>
      </c>
      <c r="P14" s="234">
        <f t="shared" si="8"/>
        <v>66658000</v>
      </c>
      <c r="Q14" s="234">
        <f t="shared" ref="Q14" si="9">Q5+Q7</f>
        <v>92472000</v>
      </c>
      <c r="R14" s="234">
        <f t="shared" ref="R14:X14" si="10">R5+R7</f>
        <v>8114000</v>
      </c>
      <c r="S14" s="234">
        <f t="shared" si="10"/>
        <v>47490000</v>
      </c>
      <c r="T14" s="234">
        <f t="shared" si="10"/>
        <v>27619000</v>
      </c>
      <c r="U14" s="234">
        <f t="shared" si="10"/>
        <v>39375000</v>
      </c>
      <c r="V14" s="234">
        <f>V5+V7</f>
        <v>10661000</v>
      </c>
      <c r="W14" s="234">
        <f t="shared" si="10"/>
        <v>11757000</v>
      </c>
      <c r="X14" s="234">
        <f t="shared" si="10"/>
        <v>-105952000</v>
      </c>
      <c r="Y14" s="234">
        <f>Y5+Y7</f>
        <v>-58461000</v>
      </c>
      <c r="Z14" s="234">
        <f t="shared" ref="Z14" si="11">Z5+Z7</f>
        <v>-41847000</v>
      </c>
    </row>
    <row r="15" spans="1:27" ht="20.100000000000001" customHeight="1">
      <c r="B15" s="231" t="s">
        <v>1245</v>
      </c>
      <c r="C15" s="232" t="s">
        <v>1301</v>
      </c>
      <c r="D15" s="233">
        <v>1283000</v>
      </c>
      <c r="E15" s="233">
        <v>10409000</v>
      </c>
      <c r="F15" s="233">
        <v>30338000</v>
      </c>
      <c r="G15" s="233">
        <v>75704000</v>
      </c>
      <c r="H15" s="233">
        <v>8825000</v>
      </c>
      <c r="I15" s="233">
        <v>3661000</v>
      </c>
      <c r="J15" s="233">
        <v>19517000</v>
      </c>
      <c r="K15" s="233">
        <v>21513000</v>
      </c>
      <c r="L15" s="233">
        <v>56855000</v>
      </c>
      <c r="M15" s="233">
        <v>7443000</v>
      </c>
      <c r="N15" s="233">
        <v>18748000</v>
      </c>
      <c r="O15" s="233">
        <v>17853000</v>
      </c>
      <c r="P15" s="233">
        <v>37338000</v>
      </c>
      <c r="Q15" s="233">
        <v>18849000</v>
      </c>
      <c r="R15" s="233">
        <v>27668000</v>
      </c>
      <c r="S15" s="233">
        <v>69109000</v>
      </c>
      <c r="T15" s="233">
        <v>14977000</v>
      </c>
      <c r="U15" s="233">
        <v>41441000</v>
      </c>
      <c r="V15" s="233">
        <v>18590000</v>
      </c>
      <c r="W15" s="233">
        <v>26464000</v>
      </c>
      <c r="X15" s="233">
        <v>19842000</v>
      </c>
      <c r="Y15" s="233">
        <v>88950000</v>
      </c>
      <c r="Z15" s="233">
        <v>114380000</v>
      </c>
    </row>
    <row r="16" spans="1:27" ht="20.100000000000001" customHeight="1">
      <c r="B16" s="231" t="s">
        <v>1116</v>
      </c>
      <c r="C16" s="232" t="s">
        <v>1301</v>
      </c>
      <c r="D16" s="233">
        <v>-1493000</v>
      </c>
      <c r="E16" s="233">
        <v>-927000</v>
      </c>
      <c r="F16" s="233">
        <v>-3884000</v>
      </c>
      <c r="G16" s="233">
        <v>-3419000</v>
      </c>
      <c r="H16" s="233">
        <v>-1006000</v>
      </c>
      <c r="I16" s="233">
        <v>-1043000</v>
      </c>
      <c r="J16" s="233">
        <v>-1004000</v>
      </c>
      <c r="K16" s="233">
        <v>-2878000</v>
      </c>
      <c r="L16" s="233">
        <v>-2925000</v>
      </c>
      <c r="M16" s="233">
        <v>-907000</v>
      </c>
      <c r="N16" s="233">
        <v>-984000</v>
      </c>
      <c r="O16" s="233">
        <v>-1834000</v>
      </c>
      <c r="P16" s="233">
        <v>-1922000</v>
      </c>
      <c r="Q16" s="233">
        <v>-494000</v>
      </c>
      <c r="R16" s="233">
        <v>0</v>
      </c>
      <c r="S16" s="233">
        <v>-233000</v>
      </c>
      <c r="T16" s="233">
        <v>-61000</v>
      </c>
      <c r="U16" s="233">
        <v>-233000</v>
      </c>
      <c r="V16" s="233">
        <v>-938000</v>
      </c>
      <c r="W16" s="233">
        <v>-172000</v>
      </c>
      <c r="X16" s="233">
        <v>0</v>
      </c>
      <c r="Y16" s="233">
        <v>-233000</v>
      </c>
      <c r="Z16" s="233">
        <v>0</v>
      </c>
    </row>
    <row r="17" spans="2:26" ht="20.100000000000001" customHeight="1">
      <c r="B17" s="229" t="s">
        <v>1140</v>
      </c>
      <c r="C17" s="232"/>
      <c r="D17" s="234">
        <f>SUM(D14:D16)</f>
        <v>-449000</v>
      </c>
      <c r="E17" s="234">
        <f>SUM(E14:E16)</f>
        <v>45919000</v>
      </c>
      <c r="F17" s="234">
        <f>SUM(F14:F16)</f>
        <v>710880000</v>
      </c>
      <c r="G17" s="234">
        <f>SUM(G14:G16)</f>
        <v>477919000</v>
      </c>
      <c r="H17" s="234">
        <f t="shared" ref="H17" si="12">SUM(H14:H16)</f>
        <v>86598000</v>
      </c>
      <c r="I17" s="234">
        <f t="shared" ref="I17:K17" si="13">SUM(I14:I16)</f>
        <v>418647000</v>
      </c>
      <c r="J17" s="234">
        <f>SUM(J14:J16)</f>
        <v>265019000</v>
      </c>
      <c r="K17" s="234">
        <f t="shared" si="13"/>
        <v>624282000</v>
      </c>
      <c r="L17" s="234">
        <f>SUM(L14:L16)</f>
        <v>367091000</v>
      </c>
      <c r="M17" s="234">
        <f t="shared" ref="M17:P17" si="14">SUM(M14:M16)</f>
        <v>159715000</v>
      </c>
      <c r="N17" s="234">
        <f t="shared" si="14"/>
        <v>73761000</v>
      </c>
      <c r="O17" s="234">
        <f t="shared" si="14"/>
        <v>205635000</v>
      </c>
      <c r="P17" s="234">
        <f t="shared" si="14"/>
        <v>102074000</v>
      </c>
      <c r="Q17" s="234">
        <f t="shared" ref="Q17" si="15">SUM(Q14:Q16)</f>
        <v>110827000</v>
      </c>
      <c r="R17" s="234">
        <f t="shared" ref="R17:X17" si="16">SUM(R14:R16)</f>
        <v>35782000</v>
      </c>
      <c r="S17" s="234">
        <f t="shared" si="16"/>
        <v>116366000</v>
      </c>
      <c r="T17" s="234">
        <f t="shared" si="16"/>
        <v>42535000</v>
      </c>
      <c r="U17" s="234">
        <f t="shared" si="16"/>
        <v>80583000</v>
      </c>
      <c r="V17" s="234">
        <f>SUM(V14:V16)</f>
        <v>28313000</v>
      </c>
      <c r="W17" s="234">
        <f t="shared" si="16"/>
        <v>38049000</v>
      </c>
      <c r="X17" s="234">
        <f t="shared" si="16"/>
        <v>-86110000</v>
      </c>
      <c r="Y17" s="234">
        <f>SUM(Y14:Y16)</f>
        <v>30256000</v>
      </c>
      <c r="Z17" s="234">
        <f t="shared" ref="Z17" si="17">SUM(Z14:Z16)</f>
        <v>72533000</v>
      </c>
    </row>
    <row r="18" spans="2:26" ht="20.100000000000001" customHeight="1">
      <c r="B18" s="229" t="s">
        <v>1141</v>
      </c>
      <c r="C18" s="232" t="s">
        <v>1382</v>
      </c>
      <c r="D18" s="234">
        <f t="shared" ref="D18:F18" si="18">SUM(D19:D21)</f>
        <v>21453000</v>
      </c>
      <c r="E18" s="234">
        <f>SUM(E19:E21)</f>
        <v>-8589000</v>
      </c>
      <c r="F18" s="234">
        <f t="shared" si="18"/>
        <v>-52094000</v>
      </c>
      <c r="G18" s="234">
        <f>SUM(G19:G21)</f>
        <v>-90102000</v>
      </c>
      <c r="H18" s="234">
        <f t="shared" ref="H18" si="19">SUM(H19:H21)</f>
        <v>-18525000</v>
      </c>
      <c r="I18" s="234">
        <f t="shared" ref="I18:K18" si="20">SUM(I19:I21)</f>
        <v>-94544000</v>
      </c>
      <c r="J18" s="234">
        <f>SUM(J19:J21)</f>
        <v>-76694000</v>
      </c>
      <c r="K18" s="234">
        <f t="shared" si="20"/>
        <v>-33569000</v>
      </c>
      <c r="L18" s="234">
        <f>SUM(L19:L21)</f>
        <v>-90482000</v>
      </c>
      <c r="M18" s="234">
        <f t="shared" ref="M18:P18" si="21">SUM(M19:M21)</f>
        <v>69565000</v>
      </c>
      <c r="N18" s="234">
        <f t="shared" si="21"/>
        <v>-7130000</v>
      </c>
      <c r="O18" s="234">
        <f t="shared" si="21"/>
        <v>60975000</v>
      </c>
      <c r="P18" s="234">
        <f t="shared" si="21"/>
        <v>-13789000</v>
      </c>
      <c r="Q18" s="234">
        <f t="shared" ref="Q18" si="22">SUM(Q19:Q21)</f>
        <v>382000</v>
      </c>
      <c r="R18" s="234">
        <f t="shared" ref="R18:X18" si="23">SUM(R19:R21)</f>
        <v>-15196000</v>
      </c>
      <c r="S18" s="234">
        <f t="shared" si="23"/>
        <v>-25060000</v>
      </c>
      <c r="T18" s="234">
        <f t="shared" si="23"/>
        <v>-6549000</v>
      </c>
      <c r="U18" s="234">
        <f t="shared" si="23"/>
        <v>-9864000</v>
      </c>
      <c r="V18" s="234">
        <f>SUM(V19:V21)</f>
        <v>-6659000</v>
      </c>
      <c r="W18" s="234">
        <f t="shared" si="23"/>
        <v>-3315000</v>
      </c>
      <c r="X18" s="234">
        <f t="shared" si="23"/>
        <v>34877000</v>
      </c>
      <c r="Y18" s="234">
        <f>SUM(Y19:Y21)</f>
        <v>9817000</v>
      </c>
      <c r="Z18" s="234">
        <f t="shared" ref="Z18" si="24">SUM(Z19:Z21)</f>
        <v>-26282000</v>
      </c>
    </row>
    <row r="19" spans="2:26" ht="19.5" hidden="1" customHeight="1">
      <c r="B19" s="231" t="s">
        <v>1142</v>
      </c>
      <c r="C19" s="232"/>
      <c r="D19" s="233">
        <v>0</v>
      </c>
      <c r="E19" s="233">
        <v>-14531000</v>
      </c>
      <c r="F19" s="233">
        <v>-33374000</v>
      </c>
      <c r="G19" s="233">
        <v>-66496000</v>
      </c>
      <c r="H19" s="233">
        <v>-14559000</v>
      </c>
      <c r="I19" s="233">
        <v>-18815000</v>
      </c>
      <c r="J19" s="233">
        <v>-53223000</v>
      </c>
      <c r="K19" s="233">
        <v>-18815000</v>
      </c>
      <c r="L19" s="233">
        <v>-64498000</v>
      </c>
      <c r="M19" s="233">
        <v>14531000</v>
      </c>
      <c r="N19" s="233">
        <v>-8629000</v>
      </c>
      <c r="O19" s="233">
        <v>0</v>
      </c>
      <c r="P19" s="233">
        <v>-11275000</v>
      </c>
      <c r="Q19" s="233">
        <v>-1997000</v>
      </c>
      <c r="R19" s="233">
        <v>-5321000</v>
      </c>
      <c r="S19" s="233">
        <v>-9693000</v>
      </c>
      <c r="T19" s="233">
        <v>-1936000</v>
      </c>
      <c r="U19" s="233">
        <v>-4372000</v>
      </c>
      <c r="V19" s="233">
        <v>-2646000</v>
      </c>
      <c r="W19" s="233">
        <v>-2436000</v>
      </c>
      <c r="X19" s="233">
        <v>-1565000</v>
      </c>
      <c r="Y19" s="233">
        <v>-11258000</v>
      </c>
      <c r="Z19" s="233">
        <v>-19318000</v>
      </c>
    </row>
    <row r="20" spans="2:26" ht="20.100000000000001" hidden="1" customHeight="1">
      <c r="B20" s="231" t="s">
        <v>1143</v>
      </c>
      <c r="C20" s="232"/>
      <c r="D20" s="233">
        <v>0</v>
      </c>
      <c r="E20" s="233">
        <v>-5233000</v>
      </c>
      <c r="F20" s="233">
        <v>-11959000</v>
      </c>
      <c r="G20" s="233">
        <v>-23890000</v>
      </c>
      <c r="H20" s="233">
        <v>-5243000</v>
      </c>
      <c r="I20" s="233">
        <v>-6716000</v>
      </c>
      <c r="J20" s="233">
        <v>-19163000</v>
      </c>
      <c r="K20" s="233">
        <v>-6716000</v>
      </c>
      <c r="L20" s="233">
        <v>-23226000</v>
      </c>
      <c r="M20" s="233">
        <v>5233000</v>
      </c>
      <c r="N20" s="233">
        <v>-3109000</v>
      </c>
      <c r="O20" s="233">
        <v>0</v>
      </c>
      <c r="P20" s="233">
        <v>-4064000</v>
      </c>
      <c r="Q20" s="233">
        <v>-663000</v>
      </c>
      <c r="R20" s="233">
        <v>-1918000</v>
      </c>
      <c r="S20" s="233">
        <v>-3496000</v>
      </c>
      <c r="T20" s="233">
        <v>-699000</v>
      </c>
      <c r="U20" s="233">
        <v>-1578000</v>
      </c>
      <c r="V20" s="233">
        <v>-955000</v>
      </c>
      <c r="W20" s="233">
        <v>-879000</v>
      </c>
      <c r="X20" s="233">
        <v>-525000</v>
      </c>
      <c r="Y20" s="233">
        <v>-4021000</v>
      </c>
      <c r="Z20" s="233">
        <v>-6963000</v>
      </c>
    </row>
    <row r="21" spans="2:26" ht="20.100000000000001" hidden="1" customHeight="1">
      <c r="B21" s="231" t="s">
        <v>1008</v>
      </c>
      <c r="C21" s="232"/>
      <c r="D21" s="233">
        <v>21453000</v>
      </c>
      <c r="E21" s="233">
        <v>11175000</v>
      </c>
      <c r="F21" s="233">
        <v>-6761000</v>
      </c>
      <c r="G21" s="233">
        <v>284000</v>
      </c>
      <c r="H21" s="233">
        <v>1277000</v>
      </c>
      <c r="I21" s="233">
        <v>-69013000</v>
      </c>
      <c r="J21" s="233">
        <v>-4308000</v>
      </c>
      <c r="K21" s="233">
        <v>-8038000</v>
      </c>
      <c r="L21" s="233">
        <v>-2758000</v>
      </c>
      <c r="M21" s="233">
        <v>49801000</v>
      </c>
      <c r="N21" s="233">
        <v>4608000</v>
      </c>
      <c r="O21" s="233">
        <v>60975000</v>
      </c>
      <c r="P21" s="233">
        <v>1550000</v>
      </c>
      <c r="Q21" s="233">
        <v>3042000</v>
      </c>
      <c r="R21" s="233">
        <v>-7957000</v>
      </c>
      <c r="S21" s="233">
        <v>-11871000</v>
      </c>
      <c r="T21" s="233">
        <v>-3914000</v>
      </c>
      <c r="U21" s="233">
        <v>-3914000</v>
      </c>
      <c r="V21" s="233">
        <v>-3058000</v>
      </c>
      <c r="W21" s="233">
        <v>0</v>
      </c>
      <c r="X21" s="233">
        <v>36967000</v>
      </c>
      <c r="Y21" s="233">
        <v>25096000</v>
      </c>
      <c r="Z21" s="233">
        <v>-1000</v>
      </c>
    </row>
    <row r="22" spans="2:26" ht="20.100000000000001" customHeight="1" collapsed="1">
      <c r="B22" s="229" t="s">
        <v>1222</v>
      </c>
      <c r="C22" s="232"/>
      <c r="D22" s="234">
        <f t="shared" ref="D22:F22" si="25">D17+D18</f>
        <v>21004000</v>
      </c>
      <c r="E22" s="234">
        <f>E17+E18</f>
        <v>37330000</v>
      </c>
      <c r="F22" s="234">
        <f t="shared" si="25"/>
        <v>658786000</v>
      </c>
      <c r="G22" s="234">
        <f>G17+G18</f>
        <v>387817000</v>
      </c>
      <c r="H22" s="234">
        <f t="shared" ref="H22" si="26">H17+H18</f>
        <v>68073000</v>
      </c>
      <c r="I22" s="234">
        <f t="shared" ref="I22:K22" si="27">I17+I18</f>
        <v>324103000</v>
      </c>
      <c r="J22" s="234">
        <f>J17+J18</f>
        <v>188325000</v>
      </c>
      <c r="K22" s="234">
        <f t="shared" si="27"/>
        <v>590713000</v>
      </c>
      <c r="L22" s="234">
        <f>L17+L18</f>
        <v>276609000</v>
      </c>
      <c r="M22" s="234">
        <f t="shared" ref="M22:P22" si="28">M17+M18</f>
        <v>229280000</v>
      </c>
      <c r="N22" s="234">
        <f t="shared" si="28"/>
        <v>66631000</v>
      </c>
      <c r="O22" s="234">
        <f t="shared" si="28"/>
        <v>266610000</v>
      </c>
      <c r="P22" s="234">
        <f t="shared" si="28"/>
        <v>88285000</v>
      </c>
      <c r="Q22" s="234">
        <f t="shared" ref="Q22" si="29">Q17+Q18</f>
        <v>111209000</v>
      </c>
      <c r="R22" s="234">
        <f t="shared" ref="R22:X22" si="30">R17+R18</f>
        <v>20586000</v>
      </c>
      <c r="S22" s="234">
        <f t="shared" si="30"/>
        <v>91306000</v>
      </c>
      <c r="T22" s="234">
        <f t="shared" si="30"/>
        <v>35986000</v>
      </c>
      <c r="U22" s="234">
        <f t="shared" si="30"/>
        <v>70719000</v>
      </c>
      <c r="V22" s="234">
        <f>V17+V18</f>
        <v>21654000</v>
      </c>
      <c r="W22" s="234">
        <f t="shared" si="30"/>
        <v>34734000</v>
      </c>
      <c r="X22" s="234">
        <f t="shared" si="30"/>
        <v>-51233000</v>
      </c>
      <c r="Y22" s="234">
        <f>Y17+Y18</f>
        <v>40073000</v>
      </c>
      <c r="Z22" s="234">
        <f t="shared" ref="Z22" si="31">Z17+Z18</f>
        <v>46251000</v>
      </c>
    </row>
    <row r="23" spans="2:26" ht="20.100000000000001" customHeight="1">
      <c r="B23" s="229" t="s">
        <v>1144</v>
      </c>
      <c r="C23" s="232"/>
      <c r="D23" s="234">
        <v>0</v>
      </c>
      <c r="E23" s="234">
        <v>0</v>
      </c>
      <c r="F23" s="234">
        <v>-716000</v>
      </c>
      <c r="G23" s="234">
        <v>-644000</v>
      </c>
      <c r="H23" s="234">
        <v>0</v>
      </c>
      <c r="I23" s="234">
        <v>0</v>
      </c>
      <c r="J23" s="234">
        <v>0</v>
      </c>
      <c r="K23" s="234">
        <v>-716000</v>
      </c>
      <c r="L23" s="234">
        <v>0</v>
      </c>
      <c r="M23" s="234">
        <v>-716000</v>
      </c>
      <c r="N23" s="234">
        <v>0</v>
      </c>
      <c r="O23" s="234">
        <v>-716000</v>
      </c>
      <c r="P23" s="234">
        <v>0</v>
      </c>
      <c r="Q23" s="234">
        <v>-644000</v>
      </c>
      <c r="R23" s="234">
        <v>0</v>
      </c>
      <c r="S23" s="234">
        <v>-553000</v>
      </c>
      <c r="T23" s="234">
        <v>-553000</v>
      </c>
      <c r="U23" s="234">
        <v>-553000</v>
      </c>
      <c r="V23" s="234">
        <v>0</v>
      </c>
      <c r="W23" s="234">
        <v>0</v>
      </c>
      <c r="X23" s="234">
        <v>0</v>
      </c>
      <c r="Y23" s="234">
        <v>-552000</v>
      </c>
      <c r="Z23" s="234">
        <v>0</v>
      </c>
    </row>
    <row r="24" spans="2:26" ht="20.100000000000001" customHeight="1">
      <c r="B24" s="229" t="s">
        <v>1287</v>
      </c>
      <c r="C24" s="230"/>
      <c r="D24" s="234">
        <f t="shared" ref="D24:F24" si="32">D22+D23</f>
        <v>21004000</v>
      </c>
      <c r="E24" s="234">
        <f>E22+E23</f>
        <v>37330000</v>
      </c>
      <c r="F24" s="234">
        <f t="shared" si="32"/>
        <v>658070000</v>
      </c>
      <c r="G24" s="234">
        <f>G22+G23</f>
        <v>387173000</v>
      </c>
      <c r="H24" s="234">
        <f t="shared" ref="H24" si="33">H22+H23</f>
        <v>68073000</v>
      </c>
      <c r="I24" s="234">
        <f t="shared" ref="I24:P24" si="34">I22+I23</f>
        <v>324103000</v>
      </c>
      <c r="J24" s="234">
        <f t="shared" si="34"/>
        <v>188325000</v>
      </c>
      <c r="K24" s="234">
        <f t="shared" si="34"/>
        <v>589997000</v>
      </c>
      <c r="L24" s="234">
        <f t="shared" si="34"/>
        <v>276609000</v>
      </c>
      <c r="M24" s="234">
        <f t="shared" si="34"/>
        <v>228564000</v>
      </c>
      <c r="N24" s="234">
        <f t="shared" si="34"/>
        <v>66631000</v>
      </c>
      <c r="O24" s="234">
        <f t="shared" si="34"/>
        <v>265894000</v>
      </c>
      <c r="P24" s="234">
        <f t="shared" si="34"/>
        <v>88285000</v>
      </c>
      <c r="Q24" s="234">
        <f t="shared" ref="Q24" si="35">Q22+Q23</f>
        <v>110565000</v>
      </c>
      <c r="R24" s="234">
        <f t="shared" ref="R24:X24" si="36">R22+R23</f>
        <v>20586000</v>
      </c>
      <c r="S24" s="234">
        <f t="shared" si="36"/>
        <v>90753000</v>
      </c>
      <c r="T24" s="234">
        <f t="shared" si="36"/>
        <v>35433000</v>
      </c>
      <c r="U24" s="234">
        <f t="shared" si="36"/>
        <v>70166000</v>
      </c>
      <c r="V24" s="234">
        <f t="shared" si="36"/>
        <v>21654000</v>
      </c>
      <c r="W24" s="234">
        <f t="shared" si="36"/>
        <v>34734000</v>
      </c>
      <c r="X24" s="234">
        <f t="shared" si="36"/>
        <v>-51233000</v>
      </c>
      <c r="Y24" s="234">
        <f>Y22+Y23</f>
        <v>39521000</v>
      </c>
      <c r="Z24" s="234">
        <f t="shared" ref="Z24" si="37">Z22+Z23</f>
        <v>46251000</v>
      </c>
    </row>
    <row r="25" spans="2:26" ht="20.100000000000001" customHeight="1">
      <c r="B25" s="229" t="s">
        <v>1146</v>
      </c>
      <c r="C25" s="230"/>
      <c r="D25" s="235">
        <v>2500000</v>
      </c>
      <c r="E25" s="235">
        <v>2500000</v>
      </c>
      <c r="F25" s="235">
        <v>2500000</v>
      </c>
      <c r="G25" s="235">
        <v>2500000</v>
      </c>
      <c r="H25" s="235">
        <v>2500000</v>
      </c>
      <c r="I25" s="235">
        <v>2500000</v>
      </c>
      <c r="J25" s="235">
        <v>2500000</v>
      </c>
      <c r="K25" s="235">
        <v>2500000</v>
      </c>
      <c r="L25" s="235">
        <v>2500000</v>
      </c>
      <c r="M25" s="235">
        <v>2500000</v>
      </c>
      <c r="N25" s="235">
        <v>2500000</v>
      </c>
      <c r="O25" s="235">
        <v>2500000</v>
      </c>
      <c r="P25" s="235">
        <v>2500000</v>
      </c>
      <c r="Q25" s="235">
        <v>2500000</v>
      </c>
      <c r="R25" s="235">
        <v>2500000</v>
      </c>
      <c r="S25" s="235">
        <v>2500000</v>
      </c>
      <c r="T25" s="235">
        <v>2500000</v>
      </c>
      <c r="U25" s="235">
        <v>2500000</v>
      </c>
      <c r="V25" s="235">
        <v>2500000</v>
      </c>
      <c r="W25" s="235">
        <v>2500000</v>
      </c>
      <c r="X25" s="235">
        <v>2500000</v>
      </c>
      <c r="Y25" s="235">
        <v>2500000</v>
      </c>
      <c r="Z25" s="235">
        <v>2500000</v>
      </c>
    </row>
    <row r="26" spans="2:26" ht="20.100000000000001" customHeight="1">
      <c r="B26" s="321" t="s">
        <v>1288</v>
      </c>
      <c r="C26" s="322"/>
      <c r="D26" s="323">
        <f t="shared" ref="D26:F26" si="38">D24/D25</f>
        <v>8.4016000000000002</v>
      </c>
      <c r="E26" s="323">
        <f>E24/E25</f>
        <v>14.932</v>
      </c>
      <c r="F26" s="323">
        <f t="shared" si="38"/>
        <v>263.22800000000001</v>
      </c>
      <c r="G26" s="323">
        <f>G24/G25</f>
        <v>154.86920000000001</v>
      </c>
      <c r="H26" s="323">
        <f t="shared" ref="H26" si="39">H24/H25</f>
        <v>27.229199999999999</v>
      </c>
      <c r="I26" s="323">
        <f t="shared" ref="I26:P26" si="40">I24/I25</f>
        <v>129.6412</v>
      </c>
      <c r="J26" s="323">
        <f t="shared" si="40"/>
        <v>75.33</v>
      </c>
      <c r="K26" s="323">
        <f t="shared" si="40"/>
        <v>235.99879999999999</v>
      </c>
      <c r="L26" s="323">
        <f t="shared" si="40"/>
        <v>110.64360000000001</v>
      </c>
      <c r="M26" s="323">
        <f t="shared" si="40"/>
        <v>91.425600000000003</v>
      </c>
      <c r="N26" s="323">
        <f t="shared" si="40"/>
        <v>26.6524</v>
      </c>
      <c r="O26" s="323">
        <f t="shared" si="40"/>
        <v>106.35760000000001</v>
      </c>
      <c r="P26" s="323">
        <f t="shared" si="40"/>
        <v>35.314</v>
      </c>
      <c r="Q26" s="323">
        <f t="shared" ref="Q26" si="41">Q24/Q25</f>
        <v>44.225999999999999</v>
      </c>
      <c r="R26" s="323">
        <f t="shared" ref="R26:X26" si="42">R24/R25</f>
        <v>8.2344000000000008</v>
      </c>
      <c r="S26" s="323">
        <f t="shared" si="42"/>
        <v>36.301200000000001</v>
      </c>
      <c r="T26" s="323">
        <f t="shared" si="42"/>
        <v>14.1732</v>
      </c>
      <c r="U26" s="323">
        <f t="shared" si="42"/>
        <v>28.066400000000002</v>
      </c>
      <c r="V26" s="323">
        <f t="shared" si="42"/>
        <v>8.6616</v>
      </c>
      <c r="W26" s="323">
        <f t="shared" si="42"/>
        <v>13.893599999999999</v>
      </c>
      <c r="X26" s="323">
        <f t="shared" si="42"/>
        <v>-20.493200000000002</v>
      </c>
      <c r="Y26" s="323">
        <f t="shared" ref="Y26:Z26" si="43">Y24/Y25</f>
        <v>15.808400000000001</v>
      </c>
      <c r="Z26" s="323">
        <f t="shared" si="43"/>
        <v>18.500399999999999</v>
      </c>
    </row>
    <row r="27" spans="2:26" ht="15" customHeight="1">
      <c r="B27" s="420" t="s">
        <v>1359</v>
      </c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324"/>
      <c r="R27" s="324"/>
      <c r="S27" s="324"/>
      <c r="T27" s="324"/>
      <c r="U27" s="324"/>
      <c r="V27" s="324"/>
      <c r="W27" s="324"/>
      <c r="X27" s="324"/>
      <c r="Y27" s="324"/>
      <c r="Z27" s="324"/>
    </row>
    <row r="28" spans="2:26" ht="15" customHeight="1"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2:26" s="228" customFormat="1" ht="15" customHeight="1"/>
    <row r="30" spans="2:26">
      <c r="D30" s="227"/>
      <c r="E30" s="227"/>
      <c r="F30" s="227"/>
      <c r="H30" s="227"/>
      <c r="I30" s="227"/>
      <c r="K30" s="227"/>
      <c r="M30" s="227"/>
      <c r="O30" s="227"/>
    </row>
    <row r="31" spans="2:26">
      <c r="D31" s="393"/>
      <c r="E31" s="393"/>
      <c r="F31" s="393"/>
      <c r="H31" s="393"/>
      <c r="I31" s="393"/>
      <c r="K31" s="393"/>
      <c r="M31" s="393"/>
      <c r="O31" s="393"/>
    </row>
    <row r="32" spans="2:26">
      <c r="D32" s="393"/>
      <c r="E32" s="393"/>
      <c r="F32" s="393"/>
      <c r="H32" s="393"/>
      <c r="I32" s="393"/>
      <c r="K32" s="393"/>
      <c r="M32" s="393"/>
      <c r="O32" s="393"/>
    </row>
    <row r="33" spans="4:15">
      <c r="D33" s="394"/>
      <c r="E33" s="394"/>
      <c r="F33" s="394"/>
      <c r="H33" s="394"/>
      <c r="I33" s="394"/>
      <c r="K33" s="394"/>
      <c r="M33" s="394"/>
      <c r="O33" s="394"/>
    </row>
    <row r="34" spans="4:15">
      <c r="D34" s="394"/>
      <c r="E34" s="394"/>
      <c r="F34" s="394"/>
      <c r="H34" s="394"/>
      <c r="I34" s="394"/>
      <c r="K34" s="394"/>
      <c r="M34" s="394"/>
      <c r="O34" s="394"/>
    </row>
    <row r="35" spans="4:15">
      <c r="D35" s="394"/>
      <c r="E35" s="394"/>
      <c r="F35" s="394"/>
      <c r="H35" s="394"/>
      <c r="I35" s="394"/>
      <c r="K35" s="394"/>
      <c r="M35" s="394"/>
      <c r="O35" s="394"/>
    </row>
  </sheetData>
  <mergeCells count="24">
    <mergeCell ref="D3:D4"/>
    <mergeCell ref="F3:F4"/>
    <mergeCell ref="X3:X4"/>
    <mergeCell ref="P3:P4"/>
    <mergeCell ref="U3:U4"/>
    <mergeCell ref="M3:M4"/>
    <mergeCell ref="O3:O4"/>
    <mergeCell ref="I3:I4"/>
    <mergeCell ref="Y3:Y4"/>
    <mergeCell ref="K3:K4"/>
    <mergeCell ref="H3:H4"/>
    <mergeCell ref="Z3:Z4"/>
    <mergeCell ref="B3:C4"/>
    <mergeCell ref="V3:V4"/>
    <mergeCell ref="W3:W4"/>
    <mergeCell ref="N3:N4"/>
    <mergeCell ref="T3:T4"/>
    <mergeCell ref="J3:J4"/>
    <mergeCell ref="R3:R4"/>
    <mergeCell ref="L3:L4"/>
    <mergeCell ref="S3:S4"/>
    <mergeCell ref="G3:G4"/>
    <mergeCell ref="Q3:Q4"/>
    <mergeCell ref="E3:E4"/>
  </mergeCells>
  <phoneticPr fontId="33" type="noConversion"/>
  <conditionalFormatting sqref="B15:B23 B25 T3:X3 N3:P3 E3">
    <cfRule type="cellIs" dxfId="193" priority="588" operator="lessThan">
      <formula>0</formula>
    </cfRule>
  </conditionalFormatting>
  <conditionalFormatting sqref="B5:B6">
    <cfRule type="cellIs" dxfId="192" priority="592" operator="lessThan">
      <formula>0</formula>
    </cfRule>
  </conditionalFormatting>
  <conditionalFormatting sqref="B12:B13 B7:B9">
    <cfRule type="cellIs" dxfId="191" priority="591" operator="lessThan">
      <formula>0</formula>
    </cfRule>
  </conditionalFormatting>
  <conditionalFormatting sqref="B10">
    <cfRule type="cellIs" dxfId="190" priority="590" operator="lessThan">
      <formula>0</formula>
    </cfRule>
  </conditionalFormatting>
  <conditionalFormatting sqref="B14">
    <cfRule type="cellIs" dxfId="189" priority="589" operator="lessThan">
      <formula>0</formula>
    </cfRule>
  </conditionalFormatting>
  <conditionalFormatting sqref="C5 C22:C24">
    <cfRule type="cellIs" dxfId="188" priority="587" operator="lessThan">
      <formula>0</formula>
    </cfRule>
  </conditionalFormatting>
  <conditionalFormatting sqref="C7">
    <cfRule type="cellIs" dxfId="187" priority="586" operator="lessThan">
      <formula>0</formula>
    </cfRule>
  </conditionalFormatting>
  <conditionalFormatting sqref="C25:C26">
    <cfRule type="cellIs" dxfId="186" priority="583" operator="lessThan">
      <formula>0</formula>
    </cfRule>
  </conditionalFormatting>
  <conditionalFormatting sqref="C19:C21">
    <cfRule type="cellIs" dxfId="185" priority="415" operator="lessThan">
      <formula>0</formula>
    </cfRule>
  </conditionalFormatting>
  <conditionalFormatting sqref="C6">
    <cfRule type="cellIs" dxfId="184" priority="158" operator="lessThan">
      <formula>0</formula>
    </cfRule>
  </conditionalFormatting>
  <conditionalFormatting sqref="B11">
    <cfRule type="cellIs" dxfId="183" priority="157" operator="lessThan">
      <formula>0</formula>
    </cfRule>
  </conditionalFormatting>
  <conditionalFormatting sqref="B3">
    <cfRule type="cellIs" dxfId="182" priority="155" operator="lessThan">
      <formula>0</formula>
    </cfRule>
  </conditionalFormatting>
  <conditionalFormatting sqref="B24">
    <cfRule type="cellIs" dxfId="181" priority="32" operator="lessThan">
      <formula>0</formula>
    </cfRule>
  </conditionalFormatting>
  <conditionalFormatting sqref="B26">
    <cfRule type="cellIs" dxfId="180" priority="31" operator="lessThan">
      <formula>0</formula>
    </cfRule>
  </conditionalFormatting>
  <conditionalFormatting sqref="R3">
    <cfRule type="cellIs" dxfId="179" priority="29" operator="lessThan">
      <formula>0</formula>
    </cfRule>
  </conditionalFormatting>
  <conditionalFormatting sqref="J3">
    <cfRule type="cellIs" dxfId="178" priority="28" operator="lessThan">
      <formula>0</formula>
    </cfRule>
  </conditionalFormatting>
  <conditionalFormatting sqref="S3">
    <cfRule type="cellIs" dxfId="177" priority="27" operator="lessThan">
      <formula>0</formula>
    </cfRule>
  </conditionalFormatting>
  <conditionalFormatting sqref="L3">
    <cfRule type="cellIs" dxfId="176" priority="26" operator="lessThan">
      <formula>0</formula>
    </cfRule>
  </conditionalFormatting>
  <conditionalFormatting sqref="Y3:Z3">
    <cfRule type="cellIs" dxfId="175" priority="15" operator="lessThan">
      <formula>0</formula>
    </cfRule>
  </conditionalFormatting>
  <conditionalFormatting sqref="G3">
    <cfRule type="cellIs" dxfId="174" priority="14" operator="lessThan">
      <formula>0</formula>
    </cfRule>
  </conditionalFormatting>
  <conditionalFormatting sqref="C8:C18">
    <cfRule type="cellIs" dxfId="173" priority="13" operator="lessThan">
      <formula>0</formula>
    </cfRule>
  </conditionalFormatting>
  <conditionalFormatting sqref="Q3">
    <cfRule type="cellIs" dxfId="172" priority="12" operator="lessThan">
      <formula>0</formula>
    </cfRule>
  </conditionalFormatting>
  <conditionalFormatting sqref="E3">
    <cfRule type="cellIs" dxfId="171" priority="9" operator="lessThan">
      <formula>0</formula>
    </cfRule>
  </conditionalFormatting>
  <conditionalFormatting sqref="M3:N3">
    <cfRule type="cellIs" dxfId="170" priority="7" operator="lessThan">
      <formula>0</formula>
    </cfRule>
  </conditionalFormatting>
  <conditionalFormatting sqref="I3:J3">
    <cfRule type="cellIs" dxfId="169" priority="5" operator="lessThan">
      <formula>0</formula>
    </cfRule>
  </conditionalFormatting>
  <conditionalFormatting sqref="K3:L3">
    <cfRule type="cellIs" dxfId="168" priority="4" operator="lessThan">
      <formula>0</formula>
    </cfRule>
  </conditionalFormatting>
  <conditionalFormatting sqref="F3:G3">
    <cfRule type="cellIs" dxfId="167" priority="3" operator="lessThan">
      <formula>0</formula>
    </cfRule>
  </conditionalFormatting>
  <conditionalFormatting sqref="H3">
    <cfRule type="cellIs" dxfId="166" priority="2" operator="lessThan">
      <formula>0</formula>
    </cfRule>
  </conditionalFormatting>
  <conditionalFormatting sqref="D3:E3">
    <cfRule type="cellIs" dxfId="165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W17:X17 W18:Y18 R24 R26 R7 R22 R14 R17:R18 U24:X24 U26:Y26 U7:Y7 U22:Y22 U14:Y14 U17:V18 T24 T26 T7 T22 T14 T17:T18 S24 S26 S7 S22 S14 S17:S18 J14:L14 I14 J7:L7 G13 F7:I7 M7:P7 F14:H14 M14:P14 D14 D7 D17:D18 F17:H18 I17:I18 J17:L18 M17:P18 D22 F22:H22 I22 J22:L22 M22:P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5"/>
  <dimension ref="A3:X18"/>
  <sheetViews>
    <sheetView showGridLines="0" zoomScale="90" zoomScaleNormal="90" workbookViewId="0">
      <selection sqref="A1:XFD1048576"/>
    </sheetView>
  </sheetViews>
  <sheetFormatPr defaultRowHeight="12"/>
  <cols>
    <col min="1" max="1" width="1.5703125" style="193" customWidth="1"/>
    <col min="2" max="2" width="53.42578125" style="193" customWidth="1"/>
    <col min="3" max="3" width="10.7109375" style="239" hidden="1" customWidth="1"/>
    <col min="4" max="4" width="11.5703125" style="238" customWidth="1" collapsed="1"/>
    <col min="5" max="5" width="12.85546875" style="238" customWidth="1"/>
    <col min="6" max="6" width="11.5703125" style="238" hidden="1" customWidth="1"/>
    <col min="7" max="7" width="15.7109375" style="238" hidden="1" customWidth="1"/>
    <col min="8" max="11" width="11.5703125" style="238" hidden="1" customWidth="1"/>
    <col min="12" max="15" width="10.28515625" style="238" hidden="1" customWidth="1"/>
    <col min="16" max="19" width="15.7109375" style="193" hidden="1" customWidth="1"/>
    <col min="20" max="20" width="13.28515625" style="238" hidden="1" customWidth="1"/>
    <col min="21" max="21" width="15.7109375" style="193" hidden="1" customWidth="1"/>
    <col min="22" max="22" width="15.7109375" style="238" hidden="1" customWidth="1"/>
    <col min="23" max="23" width="15.7109375" style="193" hidden="1" customWidth="1"/>
    <col min="24" max="24" width="2.140625" style="193" customWidth="1" collapsed="1"/>
    <col min="25" max="16384" width="9.140625" style="193"/>
  </cols>
  <sheetData>
    <row r="3" spans="1:23" s="196" customFormat="1" ht="15" customHeight="1">
      <c r="A3" s="195"/>
      <c r="B3" s="469" t="s">
        <v>1273</v>
      </c>
      <c r="C3" s="470"/>
      <c r="D3" s="467" t="s">
        <v>1358</v>
      </c>
      <c r="E3" s="467" t="s">
        <v>1333</v>
      </c>
      <c r="F3" s="467">
        <v>2020</v>
      </c>
      <c r="G3" s="467">
        <v>2019</v>
      </c>
      <c r="H3" s="467" t="s">
        <v>1351</v>
      </c>
      <c r="I3" s="467" t="s">
        <v>1303</v>
      </c>
      <c r="J3" s="467" t="s">
        <v>1305</v>
      </c>
      <c r="K3" s="467" t="s">
        <v>1305</v>
      </c>
      <c r="L3" s="467" t="s">
        <v>1341</v>
      </c>
      <c r="M3" s="467" t="s">
        <v>1283</v>
      </c>
      <c r="N3" s="467" t="s">
        <v>1345</v>
      </c>
      <c r="O3" s="467" t="s">
        <v>1285</v>
      </c>
      <c r="P3" s="467" t="s">
        <v>1304</v>
      </c>
      <c r="Q3" s="467" t="s">
        <v>1306</v>
      </c>
      <c r="R3" s="467" t="s">
        <v>1284</v>
      </c>
      <c r="S3" s="467" t="s">
        <v>1286</v>
      </c>
      <c r="T3" s="467" t="s">
        <v>1280</v>
      </c>
      <c r="U3" s="467" t="s">
        <v>1281</v>
      </c>
      <c r="V3" s="467">
        <v>2018</v>
      </c>
      <c r="W3" s="467">
        <v>2017</v>
      </c>
    </row>
    <row r="4" spans="1:23" s="196" customFormat="1" ht="15" customHeight="1">
      <c r="A4" s="225"/>
      <c r="B4" s="471"/>
      <c r="C4" s="472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</row>
    <row r="5" spans="1:23" ht="20.100000000000001" customHeight="1">
      <c r="B5" s="236" t="s">
        <v>1145</v>
      </c>
      <c r="C5" s="410"/>
      <c r="D5" s="501">
        <v>21004000</v>
      </c>
      <c r="E5" s="501">
        <v>37330000</v>
      </c>
      <c r="F5" s="209" t="e">
        <f>VLOOKUP($B5,DRE!$B:$XFD,MATCH(F$3,DRE!$B$3:$XFD$3,0),FALSE)</f>
        <v>#N/A</v>
      </c>
      <c r="G5" s="209" t="e">
        <f>VLOOKUP($B5,DRE!$B:$XFD,MATCH(G$3,DRE!$B$3:$XFD$3,0),FALSE)</f>
        <v>#N/A</v>
      </c>
      <c r="H5" s="209" t="e">
        <f>VLOOKUP($B5,DRE!$B:$XFD,MATCH(H$3,DRE!$B$3:$XFD$3,0),FALSE)</f>
        <v>#N/A</v>
      </c>
      <c r="I5" s="209" t="e">
        <f>VLOOKUP($B5,DRE!$B:$XFD,MATCH(I$3,DRE!$B$3:$XFD$3,0),FALSE)</f>
        <v>#N/A</v>
      </c>
      <c r="J5" s="209" t="e">
        <f>VLOOKUP($B5,DRE!$B:$XFD,MATCH(J$3,DRE!$B$3:$XFD$3,0),FALSE)</f>
        <v>#N/A</v>
      </c>
      <c r="K5" s="209" t="e">
        <f>VLOOKUP($B5,DRE!$B:$XFD,MATCH(K$3,DRE!$B$3:$XFD$3,0),FALSE)</f>
        <v>#N/A</v>
      </c>
      <c r="L5" s="209" t="e">
        <f>VLOOKUP($B5,DRE!$B:$XFD,MATCH(L$3,DRE!$B$3:$XFD$3,0),FALSE)</f>
        <v>#N/A</v>
      </c>
      <c r="M5" s="209" t="e">
        <f>VLOOKUP($B5,DRE!$B:$XFD,MATCH(M$3,DRE!$B$3:$XFD$3,0),FALSE)</f>
        <v>#N/A</v>
      </c>
      <c r="N5" s="209" t="e">
        <f>VLOOKUP($B5,DRE!$B:$XFD,MATCH(N$3,DRE!$B$3:$XFD$3,0),FALSE)</f>
        <v>#N/A</v>
      </c>
      <c r="O5" s="209" t="e">
        <f>VLOOKUP($B5,DRE!$B:$XFD,MATCH(O$3,DRE!$B$3:$XFD$3,0),FALSE)</f>
        <v>#N/A</v>
      </c>
      <c r="P5" s="209" t="e">
        <f>VLOOKUP($B5,DRE!$B:$XFD,MATCH(P$3,DRE!$B$3:$XFD$3,0),FALSE)</f>
        <v>#N/A</v>
      </c>
      <c r="Q5" s="209" t="e">
        <f>VLOOKUP($B5,DRE!$B:$XFD,MATCH(Q$3,DRE!$B$3:$XFD$3,0),FALSE)</f>
        <v>#N/A</v>
      </c>
      <c r="R5" s="209" t="e">
        <f>VLOOKUP($B5,DRE!$B:$XFD,MATCH(R$3,DRE!$B$3:$XFD$3,0),FALSE)</f>
        <v>#N/A</v>
      </c>
      <c r="S5" s="209" t="e">
        <f>VLOOKUP($B5,DRE!$B:$XFD,MATCH(S$3,DRE!$B$3:$XFD$3,0),FALSE)</f>
        <v>#N/A</v>
      </c>
      <c r="T5" s="209" t="e">
        <f>VLOOKUP($B5,DRE!$B:$XFD,MATCH(T$3,DRE!$B$3:$XFD$3,0),FALSE)</f>
        <v>#N/A</v>
      </c>
      <c r="U5" s="209" t="e">
        <f>VLOOKUP($B5,DRE!$B:$XFD,MATCH(U$3,DRE!$B$3:$XFD$3,0),FALSE)</f>
        <v>#N/A</v>
      </c>
      <c r="V5" s="209" t="e">
        <f>VLOOKUP($B5,DRE!$B:$XFD,MATCH(V$3,DRE!$B$3:$XFD$3,0),FALSE)</f>
        <v>#N/A</v>
      </c>
      <c r="W5" s="209" t="e">
        <f>VLOOKUP($B5,DRE!$B:$XFD,MATCH(W$3,DRE!$B$3:$XFD$3,0),FALSE)</f>
        <v>#N/A</v>
      </c>
    </row>
    <row r="6" spans="1:23" ht="20.100000000000001" hidden="1" customHeight="1">
      <c r="B6" s="229" t="s">
        <v>1223</v>
      </c>
      <c r="C6" s="410"/>
      <c r="D6" s="242">
        <f t="shared" ref="D6" si="0">SUM(D7:D8)</f>
        <v>0</v>
      </c>
      <c r="E6" s="242">
        <f>SUM(E7:E8)</f>
        <v>0</v>
      </c>
      <c r="F6" s="242">
        <f t="shared" ref="F6:H6" si="1">SUM(F7:F8)</f>
        <v>0</v>
      </c>
      <c r="G6" s="242">
        <f>SUM(G7:G8)</f>
        <v>0</v>
      </c>
      <c r="H6" s="242">
        <f t="shared" si="1"/>
        <v>0</v>
      </c>
      <c r="I6" s="242">
        <f>SUM(I7:I8)</f>
        <v>0</v>
      </c>
      <c r="J6" s="242">
        <f>SUM(J7:J8)</f>
        <v>0</v>
      </c>
      <c r="K6" s="242">
        <f>SUM(K7:K8)</f>
        <v>0</v>
      </c>
      <c r="L6" s="242">
        <f t="shared" ref="L6" si="2">SUM(L7:L8)</f>
        <v>0</v>
      </c>
      <c r="M6" s="242">
        <f>SUM(M7:M8)</f>
        <v>0</v>
      </c>
      <c r="N6" s="242">
        <f t="shared" ref="N6" si="3">SUM(N7:N8)</f>
        <v>0</v>
      </c>
      <c r="O6" s="242">
        <f>SUM(O7:O8)</f>
        <v>0</v>
      </c>
      <c r="P6" s="242">
        <f t="shared" ref="P6:W6" si="4">SUM(P7:P8)</f>
        <v>-162926000</v>
      </c>
      <c r="Q6" s="242">
        <f t="shared" si="4"/>
        <v>-292913000</v>
      </c>
      <c r="R6" s="242">
        <f t="shared" si="4"/>
        <v>-77434000</v>
      </c>
      <c r="S6" s="242">
        <f t="shared" si="4"/>
        <v>-129986000</v>
      </c>
      <c r="T6" s="242">
        <f t="shared" si="4"/>
        <v>0</v>
      </c>
      <c r="U6" s="242">
        <f t="shared" si="4"/>
        <v>-52552000</v>
      </c>
      <c r="V6" s="242">
        <f t="shared" si="4"/>
        <v>-397330000</v>
      </c>
      <c r="W6" s="242">
        <f t="shared" si="4"/>
        <v>5168000</v>
      </c>
    </row>
    <row r="7" spans="1:23" ht="20.100000000000001" hidden="1" customHeight="1">
      <c r="B7" s="243" t="s">
        <v>1147</v>
      </c>
      <c r="C7" s="410"/>
      <c r="D7" s="233">
        <v>0</v>
      </c>
      <c r="E7" s="233">
        <v>0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  <c r="O7" s="233">
        <v>0</v>
      </c>
      <c r="P7" s="233">
        <v>-280430000</v>
      </c>
      <c r="Q7" s="233">
        <v>-497454000</v>
      </c>
      <c r="R7" s="233">
        <v>-129284000</v>
      </c>
      <c r="S7" s="233">
        <v>-217024000</v>
      </c>
      <c r="T7" s="233">
        <v>0</v>
      </c>
      <c r="U7" s="233">
        <v>-87740000</v>
      </c>
      <c r="V7" s="233">
        <v>-663377000</v>
      </c>
      <c r="W7" s="233">
        <v>8629000</v>
      </c>
    </row>
    <row r="8" spans="1:23" ht="20.100000000000001" hidden="1" customHeight="1">
      <c r="B8" s="243" t="s">
        <v>1148</v>
      </c>
      <c r="C8" s="410"/>
      <c r="D8" s="233">
        <v>0</v>
      </c>
      <c r="E8" s="233">
        <v>0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  <c r="O8" s="233">
        <v>0</v>
      </c>
      <c r="P8" s="233">
        <v>117504000</v>
      </c>
      <c r="Q8" s="233">
        <v>204541000</v>
      </c>
      <c r="R8" s="233">
        <v>51850000</v>
      </c>
      <c r="S8" s="233">
        <v>87038000</v>
      </c>
      <c r="T8" s="233">
        <v>0</v>
      </c>
      <c r="U8" s="233">
        <v>35188000</v>
      </c>
      <c r="V8" s="233">
        <v>266047000</v>
      </c>
      <c r="W8" s="233">
        <v>-3461000</v>
      </c>
    </row>
    <row r="9" spans="1:23" ht="20.100000000000001" customHeight="1" collapsed="1">
      <c r="B9" s="229" t="s">
        <v>1348</v>
      </c>
      <c r="C9" s="410"/>
      <c r="D9" s="242">
        <f t="shared" ref="D9:O9" si="5">D10</f>
        <v>224000</v>
      </c>
      <c r="E9" s="242">
        <f>E10</f>
        <v>-2779000</v>
      </c>
      <c r="F9" s="242">
        <f t="shared" si="5"/>
        <v>-1473000</v>
      </c>
      <c r="G9" s="242">
        <f>G10</f>
        <v>-1711000</v>
      </c>
      <c r="H9" s="242">
        <f t="shared" si="5"/>
        <v>2780000</v>
      </c>
      <c r="I9" s="242">
        <f t="shared" si="5"/>
        <v>644000</v>
      </c>
      <c r="J9" s="242">
        <f t="shared" si="5"/>
        <v>796000</v>
      </c>
      <c r="K9" s="242">
        <f t="shared" si="5"/>
        <v>796000</v>
      </c>
      <c r="L9" s="242">
        <f t="shared" si="5"/>
        <v>1094000</v>
      </c>
      <c r="M9" s="242">
        <f t="shared" si="5"/>
        <v>266000</v>
      </c>
      <c r="N9" s="242">
        <f t="shared" si="5"/>
        <v>-1685000</v>
      </c>
      <c r="O9" s="242">
        <f t="shared" si="5"/>
        <v>152000</v>
      </c>
      <c r="P9" s="242">
        <f t="shared" ref="P9:W9" si="6">P10</f>
        <v>294000</v>
      </c>
      <c r="Q9" s="242">
        <f t="shared" si="6"/>
        <v>82165000</v>
      </c>
      <c r="R9" s="242">
        <f t="shared" si="6"/>
        <v>81830000</v>
      </c>
      <c r="S9" s="242">
        <f t="shared" si="6"/>
        <v>81871000</v>
      </c>
      <c r="T9" s="242">
        <f>T10</f>
        <v>-115000</v>
      </c>
      <c r="U9" s="242">
        <f t="shared" si="6"/>
        <v>42000</v>
      </c>
      <c r="V9" s="242">
        <f t="shared" si="6"/>
        <v>83470000</v>
      </c>
      <c r="W9" s="242">
        <f t="shared" si="6"/>
        <v>316000</v>
      </c>
    </row>
    <row r="10" spans="1:23" ht="20.100000000000001" customHeight="1">
      <c r="B10" s="243" t="s">
        <v>1149</v>
      </c>
      <c r="C10" s="410"/>
      <c r="D10" s="233">
        <v>224000</v>
      </c>
      <c r="E10" s="233">
        <v>-2779000</v>
      </c>
      <c r="F10" s="233">
        <v>-1473000</v>
      </c>
      <c r="G10" s="233">
        <v>-1711000</v>
      </c>
      <c r="H10" s="233">
        <v>2780000</v>
      </c>
      <c r="I10" s="233">
        <v>644000</v>
      </c>
      <c r="J10" s="233">
        <v>796000</v>
      </c>
      <c r="K10" s="233">
        <v>796000</v>
      </c>
      <c r="L10" s="233">
        <v>1094000</v>
      </c>
      <c r="M10" s="233">
        <v>266000</v>
      </c>
      <c r="N10" s="233">
        <v>-1685000</v>
      </c>
      <c r="O10" s="233">
        <v>152000</v>
      </c>
      <c r="P10" s="233">
        <v>294000</v>
      </c>
      <c r="Q10" s="233">
        <v>82165000</v>
      </c>
      <c r="R10" s="233">
        <v>81830000</v>
      </c>
      <c r="S10" s="233">
        <v>81871000</v>
      </c>
      <c r="T10" s="233">
        <v>-115000</v>
      </c>
      <c r="U10" s="233">
        <v>42000</v>
      </c>
      <c r="V10" s="233">
        <v>83470000</v>
      </c>
      <c r="W10" s="233">
        <v>316000</v>
      </c>
    </row>
    <row r="11" spans="1:23" ht="20.100000000000001" customHeight="1">
      <c r="B11" s="229" t="s">
        <v>739</v>
      </c>
      <c r="C11" s="410"/>
      <c r="D11" s="242">
        <f t="shared" ref="D11" si="7">SUM(D12:D13)</f>
        <v>-30000</v>
      </c>
      <c r="E11" s="242">
        <f>SUM(E12:E13)</f>
        <v>27000</v>
      </c>
      <c r="F11" s="242">
        <f t="shared" ref="F11" si="8">SUM(F12:F13)</f>
        <v>-81024000</v>
      </c>
      <c r="G11" s="242">
        <f t="shared" ref="G11" si="9">SUM(G12:G13)</f>
        <v>272163000</v>
      </c>
      <c r="H11" s="242">
        <f t="shared" ref="H11:O11" si="10">SUM(H12:H13)</f>
        <v>-29397000</v>
      </c>
      <c r="I11" s="242">
        <f t="shared" si="10"/>
        <v>103799000</v>
      </c>
      <c r="J11" s="242">
        <f t="shared" si="10"/>
        <v>102170000</v>
      </c>
      <c r="K11" s="242">
        <f t="shared" si="10"/>
        <v>102170000</v>
      </c>
      <c r="L11" s="242">
        <f t="shared" si="10"/>
        <v>-52824000</v>
      </c>
      <c r="M11" s="242">
        <f t="shared" si="10"/>
        <v>-281000</v>
      </c>
      <c r="N11" s="242">
        <f t="shared" si="10"/>
        <v>-52797000</v>
      </c>
      <c r="O11" s="242">
        <f t="shared" si="10"/>
        <v>-1630000</v>
      </c>
      <c r="P11" s="242">
        <f t="shared" ref="P11:U11" si="11">SUM(P12:P13)</f>
        <v>8127000</v>
      </c>
      <c r="Q11" s="242">
        <f t="shared" si="11"/>
        <v>-200086000</v>
      </c>
      <c r="R11" s="242">
        <f t="shared" si="11"/>
        <v>-212335000</v>
      </c>
      <c r="S11" s="242">
        <f t="shared" si="11"/>
        <v>-208213000</v>
      </c>
      <c r="T11" s="242">
        <f>SUM(T12:T13)</f>
        <v>-1349000</v>
      </c>
      <c r="U11" s="242">
        <f t="shared" si="11"/>
        <v>4122000</v>
      </c>
      <c r="V11" s="242">
        <f t="shared" ref="V11:W11" si="12">SUM(V12:V13)</f>
        <v>-214438000</v>
      </c>
      <c r="W11" s="242">
        <f t="shared" si="12"/>
        <v>336000</v>
      </c>
    </row>
    <row r="12" spans="1:23" ht="20.100000000000001" customHeight="1">
      <c r="B12" s="243" t="s">
        <v>1349</v>
      </c>
      <c r="C12" s="410" t="s">
        <v>1150</v>
      </c>
      <c r="D12" s="233">
        <v>0</v>
      </c>
      <c r="E12" s="233">
        <v>0</v>
      </c>
      <c r="F12" s="233">
        <v>-88855000</v>
      </c>
      <c r="G12" s="233">
        <v>267404000</v>
      </c>
      <c r="H12" s="233">
        <v>-35392000</v>
      </c>
      <c r="I12" s="233">
        <v>98385000</v>
      </c>
      <c r="J12" s="233">
        <v>97432000</v>
      </c>
      <c r="K12" s="233">
        <v>97432000</v>
      </c>
      <c r="L12" s="233">
        <v>-52595000</v>
      </c>
      <c r="M12" s="233">
        <v>0</v>
      </c>
      <c r="N12" s="233">
        <v>-52595000</v>
      </c>
      <c r="O12" s="233">
        <v>-953000</v>
      </c>
      <c r="P12" s="233">
        <v>0</v>
      </c>
      <c r="Q12" s="233">
        <v>-155695000</v>
      </c>
      <c r="R12" s="233">
        <v>-159817000</v>
      </c>
      <c r="S12" s="233">
        <v>-155695000</v>
      </c>
      <c r="T12" s="233">
        <v>-953000</v>
      </c>
      <c r="U12" s="233">
        <v>4122000</v>
      </c>
      <c r="V12" s="233">
        <v>-166021000</v>
      </c>
      <c r="W12" s="233">
        <v>336000</v>
      </c>
    </row>
    <row r="13" spans="1:23" ht="20.100000000000001" customHeight="1">
      <c r="B13" s="243" t="s">
        <v>1230</v>
      </c>
      <c r="C13" s="410"/>
      <c r="D13" s="233">
        <v>-30000</v>
      </c>
      <c r="E13" s="233">
        <v>27000</v>
      </c>
      <c r="F13" s="233">
        <v>7831000</v>
      </c>
      <c r="G13" s="233">
        <v>4759000</v>
      </c>
      <c r="H13" s="233">
        <v>5995000</v>
      </c>
      <c r="I13" s="233">
        <v>5414000</v>
      </c>
      <c r="J13" s="233">
        <v>4738000</v>
      </c>
      <c r="K13" s="233">
        <v>4738000</v>
      </c>
      <c r="L13" s="233">
        <v>-229000</v>
      </c>
      <c r="M13" s="233">
        <v>-281000</v>
      </c>
      <c r="N13" s="233">
        <v>-202000</v>
      </c>
      <c r="O13" s="233">
        <v>-677000</v>
      </c>
      <c r="P13" s="233">
        <v>8127000</v>
      </c>
      <c r="Q13" s="233">
        <v>-44391000</v>
      </c>
      <c r="R13" s="233">
        <v>-52518000</v>
      </c>
      <c r="S13" s="233">
        <v>-52518000</v>
      </c>
      <c r="T13" s="233">
        <v>-396000</v>
      </c>
      <c r="U13" s="233">
        <v>0</v>
      </c>
      <c r="V13" s="233">
        <v>-48417000</v>
      </c>
      <c r="W13" s="233">
        <v>0</v>
      </c>
    </row>
    <row r="14" spans="1:23" ht="20.100000000000001" customHeight="1">
      <c r="B14" s="321" t="s">
        <v>1336</v>
      </c>
      <c r="C14" s="410"/>
      <c r="D14" s="502">
        <v>21198000</v>
      </c>
      <c r="E14" s="502">
        <v>34578000</v>
      </c>
      <c r="F14" s="325" t="e">
        <f t="shared" ref="F14:H14" si="13">F5+F6+F9+F11</f>
        <v>#N/A</v>
      </c>
      <c r="G14" s="325" t="e">
        <f>G5+G6+G9+G11</f>
        <v>#N/A</v>
      </c>
      <c r="H14" s="325" t="e">
        <f t="shared" si="13"/>
        <v>#N/A</v>
      </c>
      <c r="I14" s="325" t="e">
        <f>I5+I6+I9+I11</f>
        <v>#N/A</v>
      </c>
      <c r="J14" s="325" t="e">
        <f>J5+J6+J9+J11</f>
        <v>#N/A</v>
      </c>
      <c r="K14" s="325" t="e">
        <f>K5+K6+K9+K11</f>
        <v>#N/A</v>
      </c>
      <c r="L14" s="325" t="e">
        <f t="shared" ref="L14:O14" si="14">L5+L6+L9+L11</f>
        <v>#N/A</v>
      </c>
      <c r="M14" s="325" t="e">
        <f t="shared" si="14"/>
        <v>#N/A</v>
      </c>
      <c r="N14" s="325" t="e">
        <f t="shared" si="14"/>
        <v>#N/A</v>
      </c>
      <c r="O14" s="325" t="e">
        <f t="shared" si="14"/>
        <v>#N/A</v>
      </c>
      <c r="P14" s="325" t="e">
        <f t="shared" ref="P14:U14" si="15">P5+P6+P9+P11</f>
        <v>#N/A</v>
      </c>
      <c r="Q14" s="325" t="e">
        <f t="shared" si="15"/>
        <v>#N/A</v>
      </c>
      <c r="R14" s="325" t="e">
        <f t="shared" si="15"/>
        <v>#N/A</v>
      </c>
      <c r="S14" s="325" t="e">
        <f t="shared" si="15"/>
        <v>#N/A</v>
      </c>
      <c r="T14" s="325" t="e">
        <f>T5+T6+T9+T11</f>
        <v>#N/A</v>
      </c>
      <c r="U14" s="325" t="e">
        <f t="shared" si="15"/>
        <v>#N/A</v>
      </c>
      <c r="V14" s="325" t="e">
        <f t="shared" ref="V14:W14" si="16">V5+V6+V9+V11</f>
        <v>#N/A</v>
      </c>
      <c r="W14" s="325" t="e">
        <f t="shared" si="16"/>
        <v>#N/A</v>
      </c>
    </row>
    <row r="15" spans="1:23" ht="24" customHeight="1">
      <c r="B15" s="419" t="s">
        <v>1359</v>
      </c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327"/>
      <c r="Q15" s="327"/>
      <c r="R15" s="327"/>
      <c r="S15" s="327"/>
      <c r="T15" s="326"/>
      <c r="U15" s="327"/>
      <c r="V15" s="326"/>
      <c r="W15" s="327"/>
    </row>
    <row r="16" spans="1:23" ht="15" customHeight="1"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T16" s="240"/>
      <c r="V16" s="240"/>
    </row>
    <row r="17" spans="4:24" ht="15" customHeight="1"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T17" s="241"/>
      <c r="V17" s="241"/>
    </row>
    <row r="18" spans="4:24"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</sheetData>
  <mergeCells count="21">
    <mergeCell ref="H3:H4"/>
    <mergeCell ref="E3:E4"/>
    <mergeCell ref="D3:D4"/>
    <mergeCell ref="L3:L4"/>
    <mergeCell ref="N3:N4"/>
    <mergeCell ref="V3:V4"/>
    <mergeCell ref="W3:W4"/>
    <mergeCell ref="B3:C4"/>
    <mergeCell ref="M3:M4"/>
    <mergeCell ref="R3:R4"/>
    <mergeCell ref="T3:T4"/>
    <mergeCell ref="U3:U4"/>
    <mergeCell ref="I3:I4"/>
    <mergeCell ref="P3:P4"/>
    <mergeCell ref="K3:K4"/>
    <mergeCell ref="Q3:Q4"/>
    <mergeCell ref="O3:O4"/>
    <mergeCell ref="S3:S4"/>
    <mergeCell ref="G3:G4"/>
    <mergeCell ref="J3:J4"/>
    <mergeCell ref="F3:F4"/>
  </mergeCells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P11:V11 P9:V9 F9:O9 D9 F11:O11" formula="1"/>
    <ignoredError sqref="D11" formula="1" formulaRange="1"/>
    <ignoredError sqref="E1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7"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/>
  <cols>
    <col min="4" max="4" width="16.85546875" style="146" customWidth="1"/>
    <col min="5" max="5" width="36.42578125" style="146" bestFit="1" customWidth="1"/>
    <col min="6" max="6" width="12.85546875" style="146" customWidth="1"/>
    <col min="7" max="7" width="15.7109375" style="93" bestFit="1" customWidth="1"/>
    <col min="8" max="8" width="16.85546875" style="93" bestFit="1" customWidth="1"/>
    <col min="9" max="9" width="15" style="127" bestFit="1" customWidth="1"/>
    <col min="10" max="10" width="16.7109375" style="137" customWidth="1"/>
    <col min="11" max="11" width="13.28515625" style="137" bestFit="1" customWidth="1"/>
    <col min="12" max="13" width="9" style="137" customWidth="1"/>
    <col min="14" max="15" width="13.28515625" style="137" bestFit="1" customWidth="1"/>
    <col min="16" max="16" width="9" style="137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>
      <c r="D3" s="59"/>
      <c r="E3" s="59"/>
      <c r="F3" s="59"/>
      <c r="J3" s="136"/>
      <c r="K3" s="136"/>
      <c r="L3" s="136"/>
      <c r="M3" s="136"/>
    </row>
    <row r="4" spans="4:13">
      <c r="D4" s="59"/>
      <c r="E4" s="59"/>
      <c r="F4" s="59"/>
      <c r="J4" s="136"/>
      <c r="K4" s="136"/>
      <c r="L4" s="136"/>
      <c r="M4" s="136"/>
    </row>
    <row r="5" spans="4:13" ht="15">
      <c r="D5" s="475" t="s">
        <v>990</v>
      </c>
      <c r="E5" s="476"/>
      <c r="F5" s="144" t="s">
        <v>991</v>
      </c>
      <c r="H5" s="138"/>
      <c r="I5" s="139"/>
      <c r="J5" s="136"/>
      <c r="K5" s="136"/>
      <c r="L5" s="136"/>
      <c r="M5" s="136"/>
    </row>
    <row r="6" spans="4:13" ht="15">
      <c r="D6" s="145" t="s">
        <v>992</v>
      </c>
      <c r="E6" s="147"/>
      <c r="F6" s="145">
        <v>2437271</v>
      </c>
      <c r="G6" s="141">
        <v>2437270</v>
      </c>
      <c r="H6" s="142"/>
      <c r="I6" s="140">
        <v>336527871.37</v>
      </c>
      <c r="J6" s="136"/>
      <c r="K6" s="136"/>
      <c r="L6" s="136"/>
      <c r="M6" s="136"/>
    </row>
    <row r="7" spans="4:13" ht="15">
      <c r="D7" s="145" t="s">
        <v>993</v>
      </c>
      <c r="E7" s="147"/>
      <c r="F7" s="145">
        <v>24500</v>
      </c>
      <c r="G7" s="141">
        <v>24500</v>
      </c>
      <c r="H7" s="138"/>
      <c r="I7" s="140">
        <v>468618.08</v>
      </c>
      <c r="J7" s="136"/>
      <c r="K7" s="136"/>
      <c r="L7" s="136"/>
      <c r="M7" s="136"/>
    </row>
    <row r="8" spans="4:13" ht="15">
      <c r="D8" s="145" t="s">
        <v>994</v>
      </c>
      <c r="E8" s="145"/>
      <c r="F8" s="145">
        <v>336996</v>
      </c>
      <c r="G8" s="141">
        <v>336997</v>
      </c>
      <c r="H8" s="141"/>
      <c r="I8" s="140">
        <f>SUM(I6:I7)</f>
        <v>336996489.44999999</v>
      </c>
      <c r="J8" s="136"/>
      <c r="K8" s="136"/>
      <c r="L8" s="136"/>
      <c r="M8" s="136"/>
    </row>
    <row r="9" spans="4:13" ht="15">
      <c r="D9" s="473" t="s">
        <v>1006</v>
      </c>
      <c r="E9" s="474"/>
      <c r="F9" s="112">
        <f>F6+F7+F8</f>
        <v>2798767</v>
      </c>
      <c r="G9" s="143" t="e">
        <f>+F9+#REF!</f>
        <v>#REF!</v>
      </c>
      <c r="H9" s="141"/>
      <c r="I9" s="140"/>
      <c r="J9" s="136"/>
      <c r="K9" s="136"/>
      <c r="L9" s="136"/>
      <c r="M9" s="136"/>
    </row>
    <row r="10" spans="4:13" ht="15">
      <c r="D10" s="145" t="s">
        <v>993</v>
      </c>
      <c r="E10" s="145" t="s">
        <v>995</v>
      </c>
      <c r="F10" s="145">
        <v>2143</v>
      </c>
      <c r="H10" s="141"/>
      <c r="I10" s="109"/>
      <c r="J10" s="136"/>
      <c r="K10" s="136"/>
      <c r="L10" s="136"/>
      <c r="M10" s="136"/>
    </row>
    <row r="11" spans="4:13" ht="15">
      <c r="D11" s="145" t="s">
        <v>992</v>
      </c>
      <c r="E11" s="145" t="s">
        <v>995</v>
      </c>
      <c r="F11" s="145">
        <v>420002</v>
      </c>
      <c r="H11" s="141"/>
      <c r="I11" s="109"/>
      <c r="J11" s="136"/>
      <c r="K11" s="136"/>
      <c r="L11" s="136"/>
      <c r="M11" s="136"/>
    </row>
    <row r="12" spans="4:13" ht="15">
      <c r="D12" s="145" t="s">
        <v>992</v>
      </c>
      <c r="E12" s="145" t="s">
        <v>996</v>
      </c>
      <c r="F12" s="145">
        <v>-374491</v>
      </c>
      <c r="H12" s="138"/>
      <c r="I12" s="109"/>
      <c r="J12" s="136"/>
      <c r="K12" s="136"/>
      <c r="L12" s="136"/>
      <c r="M12" s="136"/>
    </row>
    <row r="13" spans="4:13">
      <c r="D13" s="145" t="s">
        <v>992</v>
      </c>
      <c r="E13" s="145" t="s">
        <v>997</v>
      </c>
      <c r="F13" s="145">
        <v>-77959</v>
      </c>
      <c r="J13" s="136"/>
      <c r="K13" s="136"/>
      <c r="L13" s="136"/>
      <c r="M13" s="136"/>
    </row>
    <row r="14" spans="4:13">
      <c r="D14" s="145" t="s">
        <v>992</v>
      </c>
      <c r="E14" s="145" t="s">
        <v>998</v>
      </c>
      <c r="F14" s="145">
        <v>-5174</v>
      </c>
      <c r="J14" s="136"/>
      <c r="K14" s="136"/>
      <c r="L14" s="136"/>
      <c r="M14" s="136"/>
    </row>
    <row r="15" spans="4:13">
      <c r="D15" s="473" t="s">
        <v>1007</v>
      </c>
      <c r="E15" s="474"/>
      <c r="F15" s="112">
        <f>2798767-35479</f>
        <v>2763288</v>
      </c>
      <c r="J15" s="136"/>
      <c r="K15" s="136"/>
      <c r="L15" s="136"/>
      <c r="M15" s="136"/>
    </row>
    <row r="16" spans="4:13">
      <c r="D16" s="38"/>
      <c r="E16" s="38"/>
      <c r="F16" s="38"/>
      <c r="J16" s="136"/>
      <c r="K16" s="136"/>
      <c r="L16" s="136"/>
      <c r="M16" s="136"/>
    </row>
    <row r="17" spans="4:13" hidden="1">
      <c r="D17" s="475" t="s">
        <v>990</v>
      </c>
      <c r="E17" s="476"/>
      <c r="F17" s="144" t="s">
        <v>991</v>
      </c>
      <c r="J17" s="136"/>
      <c r="K17" s="136"/>
      <c r="L17" s="136"/>
      <c r="M17" s="136"/>
    </row>
    <row r="18" spans="4:13" hidden="1">
      <c r="D18" s="473" t="s">
        <v>1000</v>
      </c>
      <c r="E18" s="474"/>
      <c r="F18" s="112">
        <v>2763288</v>
      </c>
      <c r="J18" s="136"/>
      <c r="K18" s="136"/>
      <c r="L18" s="136"/>
      <c r="M18" s="136"/>
    </row>
    <row r="19" spans="4:13" hidden="1">
      <c r="D19" s="145" t="s">
        <v>992</v>
      </c>
      <c r="E19" s="145" t="s">
        <v>1001</v>
      </c>
      <c r="F19" s="145">
        <v>35575</v>
      </c>
      <c r="J19" s="136"/>
      <c r="K19" s="136"/>
      <c r="L19" s="136"/>
      <c r="M19" s="136"/>
    </row>
    <row r="20" spans="4:13" hidden="1">
      <c r="D20" s="145" t="s">
        <v>992</v>
      </c>
      <c r="E20" s="145" t="s">
        <v>997</v>
      </c>
      <c r="F20" s="145">
        <v>77959</v>
      </c>
      <c r="J20" s="136"/>
      <c r="K20" s="136"/>
      <c r="L20" s="136"/>
      <c r="M20" s="136"/>
    </row>
    <row r="21" spans="4:13" hidden="1">
      <c r="D21" s="145" t="s">
        <v>992</v>
      </c>
      <c r="E21" s="145" t="s">
        <v>996</v>
      </c>
      <c r="F21" s="145">
        <v>374491</v>
      </c>
      <c r="J21" s="136"/>
      <c r="K21" s="136"/>
      <c r="L21" s="136"/>
      <c r="M21" s="136"/>
    </row>
    <row r="22" spans="4:13" hidden="1">
      <c r="D22" s="473" t="s">
        <v>999</v>
      </c>
      <c r="E22" s="474"/>
      <c r="F22" s="112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1899-A53D-4E82-B8BC-48CBBCD42F70}">
  <sheetPr codeName="Planilha1"/>
  <dimension ref="A1:N84"/>
  <sheetViews>
    <sheetView showGridLines="0" zoomScale="80" zoomScaleNormal="80" workbookViewId="0">
      <pane xSplit="7" ySplit="4" topLeftCell="H5" activePane="bottomRight" state="frozen"/>
      <selection pane="topRight" activeCell="K1" sqref="K1"/>
      <selection pane="bottomLeft" activeCell="A14" sqref="A14"/>
      <selection pane="bottomRight" activeCell="C84" sqref="C84"/>
    </sheetView>
  </sheetViews>
  <sheetFormatPr defaultRowHeight="15"/>
  <cols>
    <col min="1" max="1" width="1.7109375" style="423" customWidth="1"/>
    <col min="2" max="2" width="4.7109375" style="423" customWidth="1"/>
    <col min="3" max="3" width="8" style="423" customWidth="1"/>
    <col min="4" max="5" width="19.5703125" style="423" customWidth="1"/>
    <col min="6" max="6" width="18" style="423" customWidth="1"/>
    <col min="7" max="7" width="17.85546875" style="422" customWidth="1"/>
    <col min="8" max="8" width="19" style="423" customWidth="1"/>
    <col min="9" max="13" width="20.28515625" style="423" customWidth="1"/>
    <col min="14" max="14" width="2.28515625" style="423" customWidth="1"/>
    <col min="15" max="16384" width="9.140625" style="423"/>
  </cols>
  <sheetData>
    <row r="1" spans="1:14" s="424" customFormat="1" ht="7.5" customHeight="1">
      <c r="A1" s="425"/>
      <c r="B1" s="425"/>
      <c r="C1" s="425"/>
      <c r="D1" s="426"/>
      <c r="F1" s="427"/>
      <c r="G1" s="428"/>
      <c r="H1" s="428"/>
      <c r="I1" s="428"/>
      <c r="J1" s="428"/>
      <c r="K1" s="428"/>
      <c r="L1" s="427"/>
      <c r="M1" s="427"/>
      <c r="N1" s="427"/>
    </row>
    <row r="2" spans="1:14" ht="15.75">
      <c r="A2" s="429"/>
      <c r="B2" s="430" t="s">
        <v>1237</v>
      </c>
    </row>
    <row r="3" spans="1:14" ht="17.25" customHeight="1">
      <c r="A3" s="429"/>
      <c r="B3" s="479" t="s">
        <v>1307</v>
      </c>
      <c r="C3" s="480"/>
      <c r="D3" s="480"/>
      <c r="E3" s="480"/>
      <c r="F3" s="480"/>
      <c r="G3" s="481"/>
      <c r="H3" s="478" t="s">
        <v>256</v>
      </c>
      <c r="I3" s="478" t="s">
        <v>1239</v>
      </c>
      <c r="J3" s="478" t="s">
        <v>1282</v>
      </c>
      <c r="K3" s="478" t="s">
        <v>1118</v>
      </c>
      <c r="L3" s="478" t="s">
        <v>1236</v>
      </c>
      <c r="M3" s="478" t="s">
        <v>243</v>
      </c>
    </row>
    <row r="4" spans="1:14" ht="29.25" customHeight="1">
      <c r="A4" s="429"/>
      <c r="B4" s="479"/>
      <c r="C4" s="480"/>
      <c r="D4" s="480"/>
      <c r="E4" s="480"/>
      <c r="F4" s="480"/>
      <c r="G4" s="481"/>
      <c r="H4" s="478"/>
      <c r="I4" s="478"/>
      <c r="J4" s="478"/>
      <c r="K4" s="478"/>
      <c r="L4" s="478"/>
      <c r="M4" s="478"/>
    </row>
    <row r="5" spans="1:14" s="432" customFormat="1" ht="18" customHeight="1">
      <c r="A5" s="431"/>
      <c r="B5" s="449" t="s">
        <v>1242</v>
      </c>
      <c r="C5" s="477" t="s">
        <v>1383</v>
      </c>
      <c r="D5" s="477"/>
      <c r="E5" s="477"/>
      <c r="F5" s="477"/>
      <c r="G5" s="477"/>
      <c r="H5" s="450">
        <f>ROUND(2854884253.81,-3)</f>
        <v>2854884000</v>
      </c>
      <c r="I5" s="450">
        <f>ROUND(142972009.65,-3)</f>
        <v>142972000</v>
      </c>
      <c r="J5" s="450">
        <f>ROUND(274914405.91,-3)</f>
        <v>274914000</v>
      </c>
      <c r="K5" s="450">
        <f>ROUND(131350196.85,-3)</f>
        <v>131350000</v>
      </c>
      <c r="L5" s="450">
        <v>0</v>
      </c>
      <c r="M5" s="451">
        <f t="shared" ref="M5:M24" si="0">SUM(H5:L5)</f>
        <v>3404120000</v>
      </c>
    </row>
    <row r="6" spans="1:14" s="432" customFormat="1" ht="18" hidden="1" customHeight="1">
      <c r="A6" s="431"/>
      <c r="B6" s="444"/>
      <c r="C6" s="445" t="s">
        <v>1308</v>
      </c>
      <c r="D6" s="445"/>
      <c r="E6" s="445"/>
      <c r="F6" s="445"/>
      <c r="G6" s="446"/>
      <c r="H6" s="447">
        <v>0</v>
      </c>
      <c r="I6" s="447">
        <v>0</v>
      </c>
      <c r="J6" s="447">
        <v>0</v>
      </c>
      <c r="K6" s="447">
        <v>0</v>
      </c>
      <c r="L6" s="447">
        <v>0</v>
      </c>
      <c r="M6" s="448">
        <f t="shared" si="0"/>
        <v>0</v>
      </c>
    </row>
    <row r="7" spans="1:14" s="432" customFormat="1" ht="18" hidden="1" customHeight="1">
      <c r="A7" s="431"/>
      <c r="B7" s="433"/>
      <c r="C7" s="434" t="s">
        <v>1342</v>
      </c>
      <c r="D7" s="434"/>
      <c r="E7" s="434"/>
      <c r="F7" s="434"/>
      <c r="G7" s="435"/>
      <c r="H7" s="436">
        <v>0</v>
      </c>
      <c r="I7" s="436">
        <v>0</v>
      </c>
      <c r="J7" s="436">
        <v>0</v>
      </c>
      <c r="K7" s="436">
        <v>0</v>
      </c>
      <c r="L7" s="436">
        <v>0</v>
      </c>
      <c r="M7" s="437">
        <f t="shared" si="0"/>
        <v>0</v>
      </c>
    </row>
    <row r="8" spans="1:14" s="432" customFormat="1" ht="18" hidden="1" customHeight="1">
      <c r="A8" s="431"/>
      <c r="B8" s="433"/>
      <c r="C8" s="434" t="s">
        <v>1343</v>
      </c>
      <c r="D8" s="434"/>
      <c r="E8" s="434"/>
      <c r="F8" s="434"/>
      <c r="G8" s="435"/>
      <c r="H8" s="436">
        <v>0</v>
      </c>
      <c r="I8" s="436">
        <v>0</v>
      </c>
      <c r="J8" s="436">
        <v>0</v>
      </c>
      <c r="K8" s="436">
        <v>0</v>
      </c>
      <c r="L8" s="436">
        <v>0</v>
      </c>
      <c r="M8" s="437">
        <f t="shared" si="0"/>
        <v>0</v>
      </c>
    </row>
    <row r="9" spans="1:14" s="432" customFormat="1" ht="18" hidden="1" customHeight="1">
      <c r="A9" s="431"/>
      <c r="B9" s="433"/>
      <c r="C9" s="434" t="s">
        <v>1353</v>
      </c>
      <c r="D9" s="434"/>
      <c r="E9" s="434"/>
      <c r="F9" s="434"/>
      <c r="G9" s="435"/>
      <c r="H9" s="436">
        <v>0</v>
      </c>
      <c r="I9" s="436">
        <v>0</v>
      </c>
      <c r="J9" s="436">
        <v>0</v>
      </c>
      <c r="K9" s="436">
        <v>0</v>
      </c>
      <c r="L9" s="436">
        <v>0</v>
      </c>
      <c r="M9" s="437">
        <f t="shared" si="0"/>
        <v>0</v>
      </c>
    </row>
    <row r="10" spans="1:14" s="432" customFormat="1" ht="18" customHeight="1" collapsed="1">
      <c r="A10" s="431"/>
      <c r="B10" s="433"/>
      <c r="C10" s="434" t="s">
        <v>1118</v>
      </c>
      <c r="D10" s="434"/>
      <c r="E10" s="434"/>
      <c r="F10" s="434"/>
      <c r="G10" s="435" t="s">
        <v>1380</v>
      </c>
      <c r="H10" s="436">
        <f>H11+H17+H19+H20</f>
        <v>0</v>
      </c>
      <c r="I10" s="436">
        <f>I11+I17+I19+I20</f>
        <v>0</v>
      </c>
      <c r="J10" s="436">
        <f>J11+J17+J19+J20</f>
        <v>0</v>
      </c>
      <c r="K10" s="436">
        <f>K11+K17+K19+K20</f>
        <v>-2752000</v>
      </c>
      <c r="L10" s="436">
        <f>L11+L17+L19+L20</f>
        <v>0</v>
      </c>
      <c r="M10" s="437">
        <f t="shared" si="0"/>
        <v>-2752000</v>
      </c>
    </row>
    <row r="11" spans="1:14" s="432" customFormat="1" ht="18" hidden="1" customHeight="1">
      <c r="A11" s="431"/>
      <c r="B11" s="433"/>
      <c r="C11" s="438" t="s">
        <v>1378</v>
      </c>
      <c r="D11" s="434"/>
      <c r="E11" s="434"/>
      <c r="F11" s="434"/>
      <c r="G11" s="435"/>
      <c r="H11" s="436">
        <f>SUM(H12:H16)</f>
        <v>0</v>
      </c>
      <c r="I11" s="436">
        <f>SUM(I12:I16)</f>
        <v>0</v>
      </c>
      <c r="J11" s="436">
        <f>SUM(J12:J16)</f>
        <v>0</v>
      </c>
      <c r="K11" s="436">
        <f>SUM(K12:K16)</f>
        <v>0</v>
      </c>
      <c r="L11" s="436">
        <f>SUM(L12:L16)</f>
        <v>0</v>
      </c>
      <c r="M11" s="437">
        <f t="shared" si="0"/>
        <v>0</v>
      </c>
    </row>
    <row r="12" spans="1:14" s="432" customFormat="1" ht="18" hidden="1" customHeight="1">
      <c r="A12" s="431"/>
      <c r="B12" s="433"/>
      <c r="C12" s="439" t="s">
        <v>1377</v>
      </c>
      <c r="D12" s="434"/>
      <c r="E12" s="434"/>
      <c r="F12" s="434"/>
      <c r="G12" s="435"/>
      <c r="H12" s="436">
        <v>0</v>
      </c>
      <c r="I12" s="436">
        <v>0</v>
      </c>
      <c r="J12" s="436">
        <v>0</v>
      </c>
      <c r="K12" s="436">
        <v>0</v>
      </c>
      <c r="L12" s="436">
        <v>0</v>
      </c>
      <c r="M12" s="437">
        <f t="shared" si="0"/>
        <v>0</v>
      </c>
    </row>
    <row r="13" spans="1:14" s="432" customFormat="1" ht="18" hidden="1" customHeight="1">
      <c r="A13" s="431"/>
      <c r="B13" s="433"/>
      <c r="C13" s="439" t="s">
        <v>1376</v>
      </c>
      <c r="D13" s="434"/>
      <c r="E13" s="434"/>
      <c r="F13" s="434"/>
      <c r="G13" s="435"/>
      <c r="H13" s="436">
        <v>0</v>
      </c>
      <c r="I13" s="436">
        <v>0</v>
      </c>
      <c r="J13" s="436">
        <v>0</v>
      </c>
      <c r="K13" s="436">
        <v>0</v>
      </c>
      <c r="L13" s="436">
        <v>0</v>
      </c>
      <c r="M13" s="437">
        <f t="shared" si="0"/>
        <v>0</v>
      </c>
    </row>
    <row r="14" spans="1:14" s="432" customFormat="1" ht="18" hidden="1" customHeight="1">
      <c r="A14" s="431"/>
      <c r="B14" s="433"/>
      <c r="C14" s="439" t="s">
        <v>1375</v>
      </c>
      <c r="D14" s="434"/>
      <c r="E14" s="434"/>
      <c r="F14" s="434"/>
      <c r="G14" s="435"/>
      <c r="H14" s="436">
        <v>0</v>
      </c>
      <c r="I14" s="436">
        <v>0</v>
      </c>
      <c r="J14" s="436">
        <v>0</v>
      </c>
      <c r="K14" s="436">
        <v>0</v>
      </c>
      <c r="L14" s="436">
        <v>0</v>
      </c>
      <c r="M14" s="437">
        <f t="shared" si="0"/>
        <v>0</v>
      </c>
    </row>
    <row r="15" spans="1:14" s="432" customFormat="1" ht="18" hidden="1" customHeight="1">
      <c r="A15" s="431"/>
      <c r="B15" s="433"/>
      <c r="C15" s="439" t="s">
        <v>1374</v>
      </c>
      <c r="D15" s="434"/>
      <c r="E15" s="434"/>
      <c r="F15" s="434"/>
      <c r="G15" s="435"/>
      <c r="H15" s="436">
        <v>0</v>
      </c>
      <c r="I15" s="436">
        <v>0</v>
      </c>
      <c r="J15" s="436">
        <v>0</v>
      </c>
      <c r="K15" s="436">
        <v>0</v>
      </c>
      <c r="L15" s="436">
        <v>0</v>
      </c>
      <c r="M15" s="437">
        <f t="shared" si="0"/>
        <v>0</v>
      </c>
    </row>
    <row r="16" spans="1:14" s="432" customFormat="1" ht="18" hidden="1" customHeight="1">
      <c r="A16" s="431"/>
      <c r="B16" s="433"/>
      <c r="C16" s="439" t="s">
        <v>1373</v>
      </c>
      <c r="D16" s="434"/>
      <c r="E16" s="434"/>
      <c r="F16" s="434"/>
      <c r="G16" s="435"/>
      <c r="H16" s="436">
        <v>0</v>
      </c>
      <c r="I16" s="436">
        <v>0</v>
      </c>
      <c r="J16" s="436">
        <v>0</v>
      </c>
      <c r="K16" s="436">
        <v>0</v>
      </c>
      <c r="L16" s="436">
        <v>0</v>
      </c>
      <c r="M16" s="437">
        <f t="shared" si="0"/>
        <v>0</v>
      </c>
    </row>
    <row r="17" spans="1:13" s="432" customFormat="1" ht="18" customHeight="1" collapsed="1">
      <c r="A17" s="431"/>
      <c r="B17" s="433"/>
      <c r="C17" s="438" t="s">
        <v>1354</v>
      </c>
      <c r="D17" s="434"/>
      <c r="E17" s="434"/>
      <c r="F17" s="434"/>
      <c r="G17" s="435"/>
      <c r="H17" s="436">
        <f>+H18</f>
        <v>0</v>
      </c>
      <c r="I17" s="436">
        <f>+I18</f>
        <v>0</v>
      </c>
      <c r="J17" s="436">
        <f>+J18</f>
        <v>0</v>
      </c>
      <c r="K17" s="436">
        <f>ROUND(+K18,-3)</f>
        <v>-2779000</v>
      </c>
      <c r="L17" s="436">
        <f>+L18</f>
        <v>0</v>
      </c>
      <c r="M17" s="437">
        <f t="shared" si="0"/>
        <v>-2779000</v>
      </c>
    </row>
    <row r="18" spans="1:13" s="432" customFormat="1" ht="18" hidden="1" customHeight="1">
      <c r="A18" s="431"/>
      <c r="B18" s="433"/>
      <c r="C18" s="440" t="s">
        <v>1372</v>
      </c>
      <c r="D18" s="434"/>
      <c r="E18" s="434"/>
      <c r="F18" s="434"/>
      <c r="G18" s="435"/>
      <c r="H18" s="436">
        <v>0</v>
      </c>
      <c r="I18" s="436">
        <v>0</v>
      </c>
      <c r="J18" s="436">
        <v>0</v>
      </c>
      <c r="K18" s="436">
        <v>-2779249.3899999997</v>
      </c>
      <c r="L18" s="436">
        <v>0</v>
      </c>
      <c r="M18" s="437">
        <f t="shared" si="0"/>
        <v>-2779249.3899999997</v>
      </c>
    </row>
    <row r="19" spans="1:13" s="432" customFormat="1" ht="18" hidden="1" customHeight="1">
      <c r="A19" s="431"/>
      <c r="B19" s="433"/>
      <c r="C19" s="438" t="s">
        <v>1150</v>
      </c>
      <c r="D19" s="434"/>
      <c r="E19" s="434"/>
      <c r="F19" s="434"/>
      <c r="G19" s="435"/>
      <c r="H19" s="436">
        <v>0</v>
      </c>
      <c r="I19" s="436">
        <v>0</v>
      </c>
      <c r="J19" s="436">
        <v>0</v>
      </c>
      <c r="K19" s="436">
        <v>0</v>
      </c>
      <c r="L19" s="436">
        <v>0</v>
      </c>
      <c r="M19" s="437">
        <f t="shared" si="0"/>
        <v>0</v>
      </c>
    </row>
    <row r="20" spans="1:13" s="432" customFormat="1" ht="18" customHeight="1" collapsed="1">
      <c r="A20" s="431"/>
      <c r="B20" s="433"/>
      <c r="C20" s="438" t="s">
        <v>1243</v>
      </c>
      <c r="D20" s="434"/>
      <c r="E20" s="434"/>
      <c r="F20" s="434"/>
      <c r="G20" s="435"/>
      <c r="H20" s="436">
        <v>0</v>
      </c>
      <c r="I20" s="436">
        <v>0</v>
      </c>
      <c r="J20" s="436">
        <v>0</v>
      </c>
      <c r="K20" s="436">
        <f>ROUND(26613.96,-3)</f>
        <v>27000</v>
      </c>
      <c r="L20" s="436">
        <v>0</v>
      </c>
      <c r="M20" s="437">
        <f t="shared" si="0"/>
        <v>27000</v>
      </c>
    </row>
    <row r="21" spans="1:13" s="432" customFormat="1" ht="18" customHeight="1">
      <c r="A21" s="431"/>
      <c r="B21" s="433"/>
      <c r="C21" s="434" t="s">
        <v>1279</v>
      </c>
      <c r="D21" s="434"/>
      <c r="E21" s="434"/>
      <c r="F21" s="434"/>
      <c r="G21" s="435"/>
      <c r="H21" s="436">
        <v>0</v>
      </c>
      <c r="I21" s="436">
        <v>0</v>
      </c>
      <c r="J21" s="436">
        <v>0</v>
      </c>
      <c r="K21" s="436">
        <v>0</v>
      </c>
      <c r="L21" s="436">
        <f>ROUND(-1150585.26,-3)+1000</f>
        <v>-1150000</v>
      </c>
      <c r="M21" s="437">
        <f t="shared" si="0"/>
        <v>-1150000</v>
      </c>
    </row>
    <row r="22" spans="1:13" s="432" customFormat="1" ht="18" customHeight="1">
      <c r="A22" s="431"/>
      <c r="B22" s="433"/>
      <c r="C22" s="434" t="s">
        <v>1244</v>
      </c>
      <c r="D22" s="434"/>
      <c r="E22" s="434"/>
      <c r="F22" s="434"/>
      <c r="G22" s="435"/>
      <c r="H22" s="436">
        <v>0</v>
      </c>
      <c r="I22" s="436">
        <v>0</v>
      </c>
      <c r="J22" s="436">
        <v>0</v>
      </c>
      <c r="K22" s="436">
        <v>0</v>
      </c>
      <c r="L22" s="436">
        <f>ROUND(20133.76,-3)</f>
        <v>20000</v>
      </c>
      <c r="M22" s="437">
        <f t="shared" si="0"/>
        <v>20000</v>
      </c>
    </row>
    <row r="23" spans="1:13" s="432" customFormat="1" ht="18" hidden="1" customHeight="1">
      <c r="A23" s="431"/>
      <c r="B23" s="433"/>
      <c r="C23" s="434" t="s">
        <v>1344</v>
      </c>
      <c r="D23" s="434"/>
      <c r="E23" s="434"/>
      <c r="F23" s="434"/>
      <c r="G23" s="435"/>
      <c r="H23" s="436">
        <v>0</v>
      </c>
      <c r="I23" s="436">
        <v>0</v>
      </c>
      <c r="J23" s="436">
        <v>0</v>
      </c>
      <c r="K23" s="436">
        <v>0</v>
      </c>
      <c r="L23" s="436">
        <v>0</v>
      </c>
      <c r="M23" s="437">
        <f t="shared" si="0"/>
        <v>0</v>
      </c>
    </row>
    <row r="24" spans="1:13" s="432" customFormat="1" ht="18" customHeight="1" collapsed="1">
      <c r="A24" s="431"/>
      <c r="B24" s="433"/>
      <c r="C24" s="434" t="s">
        <v>1287</v>
      </c>
      <c r="D24" s="434"/>
      <c r="E24" s="434"/>
      <c r="F24" s="434"/>
      <c r="G24" s="435"/>
      <c r="H24" s="436">
        <v>0</v>
      </c>
      <c r="I24" s="436">
        <v>0</v>
      </c>
      <c r="J24" s="436">
        <v>0</v>
      </c>
      <c r="K24" s="436">
        <v>0</v>
      </c>
      <c r="L24" s="436">
        <f>ROUND(37330114.98,-3)</f>
        <v>37330000</v>
      </c>
      <c r="M24" s="437">
        <f t="shared" si="0"/>
        <v>37330000</v>
      </c>
    </row>
    <row r="25" spans="1:13" s="432" customFormat="1" ht="18" customHeight="1">
      <c r="A25" s="431"/>
      <c r="B25" s="433"/>
      <c r="C25" s="434"/>
      <c r="D25" s="434"/>
      <c r="E25" s="434"/>
      <c r="F25" s="434"/>
      <c r="G25" s="435"/>
      <c r="H25" s="436"/>
      <c r="I25" s="436"/>
      <c r="J25" s="436"/>
      <c r="K25" s="436"/>
      <c r="L25" s="436"/>
      <c r="M25" s="437"/>
    </row>
    <row r="26" spans="1:13" s="432" customFormat="1" ht="18" hidden="1" customHeight="1">
      <c r="A26" s="431"/>
      <c r="B26" s="433"/>
      <c r="C26" s="434" t="s">
        <v>1355</v>
      </c>
      <c r="D26" s="434"/>
      <c r="E26" s="434"/>
      <c r="F26" s="434"/>
      <c r="G26" s="435"/>
      <c r="H26" s="436"/>
      <c r="I26" s="436"/>
      <c r="J26" s="436"/>
      <c r="K26" s="436"/>
      <c r="L26" s="436"/>
      <c r="M26" s="437"/>
    </row>
    <row r="27" spans="1:13" s="432" customFormat="1" ht="18" hidden="1" customHeight="1">
      <c r="A27" s="431"/>
      <c r="B27" s="433"/>
      <c r="C27" s="438" t="s">
        <v>1239</v>
      </c>
      <c r="D27" s="434"/>
      <c r="E27" s="434"/>
      <c r="F27" s="434"/>
      <c r="G27" s="435"/>
      <c r="H27" s="436">
        <f t="shared" ref="H27:M27" si="1">H28</f>
        <v>0</v>
      </c>
      <c r="I27" s="436">
        <f t="shared" si="1"/>
        <v>0</v>
      </c>
      <c r="J27" s="436">
        <f t="shared" si="1"/>
        <v>0</v>
      </c>
      <c r="K27" s="436">
        <f t="shared" si="1"/>
        <v>0</v>
      </c>
      <c r="L27" s="436">
        <f t="shared" si="1"/>
        <v>0</v>
      </c>
      <c r="M27" s="437">
        <f t="shared" si="1"/>
        <v>0</v>
      </c>
    </row>
    <row r="28" spans="1:13" s="432" customFormat="1" ht="18" hidden="1" customHeight="1">
      <c r="A28" s="431"/>
      <c r="B28" s="433"/>
      <c r="C28" s="440" t="s">
        <v>1371</v>
      </c>
      <c r="D28" s="434"/>
      <c r="E28" s="434"/>
      <c r="F28" s="434"/>
      <c r="G28" s="435"/>
      <c r="H28" s="436">
        <v>0</v>
      </c>
      <c r="I28" s="436">
        <v>0</v>
      </c>
      <c r="J28" s="436">
        <v>0</v>
      </c>
      <c r="K28" s="436">
        <v>0</v>
      </c>
      <c r="L28" s="436">
        <v>0</v>
      </c>
      <c r="M28" s="437">
        <f>SUM(H28:L28)</f>
        <v>0</v>
      </c>
    </row>
    <row r="29" spans="1:13" s="432" customFormat="1" ht="18" hidden="1" customHeight="1">
      <c r="A29" s="431"/>
      <c r="B29" s="433"/>
      <c r="C29" s="438" t="s">
        <v>1240</v>
      </c>
      <c r="D29" s="434"/>
      <c r="E29" s="434"/>
      <c r="F29" s="434"/>
      <c r="G29" s="435"/>
      <c r="H29" s="436">
        <f t="shared" ref="H29:M29" si="2">H30</f>
        <v>0</v>
      </c>
      <c r="I29" s="436">
        <f t="shared" si="2"/>
        <v>0</v>
      </c>
      <c r="J29" s="436">
        <f t="shared" si="2"/>
        <v>0</v>
      </c>
      <c r="K29" s="436">
        <f t="shared" si="2"/>
        <v>0</v>
      </c>
      <c r="L29" s="436">
        <f t="shared" si="2"/>
        <v>0</v>
      </c>
      <c r="M29" s="437">
        <f t="shared" si="2"/>
        <v>0</v>
      </c>
    </row>
    <row r="30" spans="1:13" s="432" customFormat="1" ht="18" hidden="1" customHeight="1">
      <c r="A30" s="431"/>
      <c r="B30" s="433"/>
      <c r="C30" s="440" t="s">
        <v>1370</v>
      </c>
      <c r="D30" s="434"/>
      <c r="E30" s="434"/>
      <c r="F30" s="434"/>
      <c r="G30" s="435"/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7">
        <f>SUM(H30:L30)</f>
        <v>0</v>
      </c>
    </row>
    <row r="31" spans="1:13" s="432" customFormat="1" ht="18" hidden="1" customHeight="1">
      <c r="A31" s="431"/>
      <c r="B31" s="433"/>
      <c r="C31" s="438" t="s">
        <v>1369</v>
      </c>
      <c r="D31" s="434"/>
      <c r="E31" s="434"/>
      <c r="F31" s="434"/>
      <c r="G31" s="435"/>
      <c r="H31" s="436">
        <f t="shared" ref="H31:M31" si="3">H32</f>
        <v>0</v>
      </c>
      <c r="I31" s="436">
        <f t="shared" si="3"/>
        <v>0</v>
      </c>
      <c r="J31" s="436">
        <f t="shared" si="3"/>
        <v>0</v>
      </c>
      <c r="K31" s="436">
        <f t="shared" si="3"/>
        <v>0</v>
      </c>
      <c r="L31" s="436">
        <f t="shared" si="3"/>
        <v>0</v>
      </c>
      <c r="M31" s="437">
        <f t="shared" si="3"/>
        <v>0</v>
      </c>
    </row>
    <row r="32" spans="1:13" s="432" customFormat="1" ht="18" hidden="1" customHeight="1">
      <c r="A32" s="431"/>
      <c r="B32" s="433"/>
      <c r="C32" s="440" t="s">
        <v>1368</v>
      </c>
      <c r="D32" s="434"/>
      <c r="E32" s="434"/>
      <c r="F32" s="434"/>
      <c r="G32" s="435"/>
      <c r="H32" s="436">
        <v>0</v>
      </c>
      <c r="I32" s="436">
        <v>0</v>
      </c>
      <c r="J32" s="436">
        <v>0</v>
      </c>
      <c r="K32" s="436">
        <v>0</v>
      </c>
      <c r="L32" s="436">
        <v>0</v>
      </c>
      <c r="M32" s="437">
        <f>SUM(H32:L32)</f>
        <v>0</v>
      </c>
    </row>
    <row r="33" spans="1:14" s="432" customFormat="1" ht="18" hidden="1" customHeight="1">
      <c r="A33" s="431"/>
      <c r="B33" s="433"/>
      <c r="C33" s="438" t="s">
        <v>1241</v>
      </c>
      <c r="D33" s="434"/>
      <c r="E33" s="434"/>
      <c r="F33" s="434"/>
      <c r="G33" s="435"/>
      <c r="H33" s="436">
        <f t="shared" ref="H33:M33" si="4">H34</f>
        <v>0</v>
      </c>
      <c r="I33" s="436">
        <f t="shared" si="4"/>
        <v>0</v>
      </c>
      <c r="J33" s="436">
        <f t="shared" si="4"/>
        <v>0</v>
      </c>
      <c r="K33" s="436">
        <f t="shared" si="4"/>
        <v>0</v>
      </c>
      <c r="L33" s="436">
        <f t="shared" si="4"/>
        <v>0</v>
      </c>
      <c r="M33" s="437">
        <f t="shared" si="4"/>
        <v>0</v>
      </c>
    </row>
    <row r="34" spans="1:14" s="432" customFormat="1" ht="18" hidden="1" customHeight="1">
      <c r="A34" s="431"/>
      <c r="B34" s="433"/>
      <c r="C34" s="440" t="s">
        <v>1367</v>
      </c>
      <c r="D34" s="434"/>
      <c r="E34" s="434"/>
      <c r="F34" s="434"/>
      <c r="G34" s="435"/>
      <c r="H34" s="436">
        <v>0</v>
      </c>
      <c r="I34" s="436">
        <v>0</v>
      </c>
      <c r="J34" s="436">
        <v>0</v>
      </c>
      <c r="K34" s="436">
        <v>0</v>
      </c>
      <c r="L34" s="436">
        <v>0</v>
      </c>
      <c r="M34" s="437">
        <f>SUM(H34:L34)</f>
        <v>0</v>
      </c>
    </row>
    <row r="35" spans="1:14" s="432" customFormat="1" ht="18" hidden="1" customHeight="1">
      <c r="A35" s="431"/>
      <c r="B35" s="433"/>
      <c r="C35" s="438" t="s">
        <v>1366</v>
      </c>
      <c r="D35" s="434"/>
      <c r="E35" s="434"/>
      <c r="F35" s="434"/>
      <c r="G35" s="435"/>
      <c r="H35" s="436">
        <f t="shared" ref="H35:M35" si="5">H36</f>
        <v>0</v>
      </c>
      <c r="I35" s="436">
        <f t="shared" si="5"/>
        <v>0</v>
      </c>
      <c r="J35" s="436">
        <f t="shared" si="5"/>
        <v>0</v>
      </c>
      <c r="K35" s="436">
        <f t="shared" si="5"/>
        <v>0</v>
      </c>
      <c r="L35" s="436">
        <f t="shared" si="5"/>
        <v>0</v>
      </c>
      <c r="M35" s="437">
        <f t="shared" si="5"/>
        <v>0</v>
      </c>
    </row>
    <row r="36" spans="1:14" s="432" customFormat="1" ht="18" hidden="1" customHeight="1">
      <c r="A36" s="431"/>
      <c r="B36" s="433"/>
      <c r="C36" s="440" t="s">
        <v>1365</v>
      </c>
      <c r="D36" s="434"/>
      <c r="E36" s="434"/>
      <c r="F36" s="434"/>
      <c r="G36" s="435"/>
      <c r="H36" s="436">
        <v>0</v>
      </c>
      <c r="I36" s="436">
        <v>0</v>
      </c>
      <c r="J36" s="436">
        <v>0</v>
      </c>
      <c r="K36" s="436">
        <v>0</v>
      </c>
      <c r="L36" s="436">
        <v>0</v>
      </c>
      <c r="M36" s="437">
        <f>SUM(H36:L36)</f>
        <v>0</v>
      </c>
    </row>
    <row r="37" spans="1:14" s="432" customFormat="1" ht="18" hidden="1" customHeight="1">
      <c r="A37" s="431"/>
      <c r="B37" s="433"/>
      <c r="C37" s="438" t="s">
        <v>1316</v>
      </c>
      <c r="D37" s="434"/>
      <c r="E37" s="434"/>
      <c r="F37" s="434"/>
      <c r="G37" s="435"/>
      <c r="H37" s="436">
        <f t="shared" ref="H37:M37" si="6">H38</f>
        <v>0</v>
      </c>
      <c r="I37" s="436">
        <f t="shared" si="6"/>
        <v>0</v>
      </c>
      <c r="J37" s="436">
        <f t="shared" si="6"/>
        <v>0</v>
      </c>
      <c r="K37" s="436">
        <f t="shared" si="6"/>
        <v>0</v>
      </c>
      <c r="L37" s="436">
        <f t="shared" si="6"/>
        <v>0</v>
      </c>
      <c r="M37" s="437">
        <f t="shared" si="6"/>
        <v>0</v>
      </c>
    </row>
    <row r="38" spans="1:14" s="432" customFormat="1" ht="18" hidden="1" customHeight="1">
      <c r="A38" s="431"/>
      <c r="B38" s="433"/>
      <c r="C38" s="440" t="s">
        <v>1364</v>
      </c>
      <c r="D38" s="434"/>
      <c r="E38" s="434"/>
      <c r="F38" s="434"/>
      <c r="G38" s="435"/>
      <c r="H38" s="436">
        <v>0</v>
      </c>
      <c r="I38" s="436">
        <v>0</v>
      </c>
      <c r="J38" s="436">
        <v>0</v>
      </c>
      <c r="K38" s="436">
        <v>0</v>
      </c>
      <c r="L38" s="436">
        <v>0</v>
      </c>
      <c r="M38" s="437">
        <f>SUM(H38:L38)</f>
        <v>0</v>
      </c>
    </row>
    <row r="39" spans="1:14" s="432" customFormat="1" ht="18" hidden="1" customHeight="1">
      <c r="A39" s="431"/>
      <c r="B39" s="433"/>
      <c r="C39" s="438" t="s">
        <v>1282</v>
      </c>
      <c r="D39" s="434"/>
      <c r="E39" s="434"/>
      <c r="F39" s="434"/>
      <c r="G39" s="435"/>
      <c r="H39" s="436">
        <f t="shared" ref="H39:M39" si="7">H40</f>
        <v>0</v>
      </c>
      <c r="I39" s="436">
        <f t="shared" si="7"/>
        <v>0</v>
      </c>
      <c r="J39" s="436">
        <f t="shared" si="7"/>
        <v>0</v>
      </c>
      <c r="K39" s="436">
        <f t="shared" si="7"/>
        <v>0</v>
      </c>
      <c r="L39" s="436">
        <f t="shared" si="7"/>
        <v>0</v>
      </c>
      <c r="M39" s="437">
        <f t="shared" si="7"/>
        <v>0</v>
      </c>
    </row>
    <row r="40" spans="1:14" s="432" customFormat="1" ht="18" hidden="1" customHeight="1">
      <c r="A40" s="431"/>
      <c r="B40" s="433"/>
      <c r="C40" s="440" t="s">
        <v>1363</v>
      </c>
      <c r="D40" s="434"/>
      <c r="E40" s="434"/>
      <c r="F40" s="434"/>
      <c r="G40" s="435"/>
      <c r="H40" s="436">
        <v>0</v>
      </c>
      <c r="I40" s="436">
        <v>0</v>
      </c>
      <c r="J40" s="436">
        <v>0</v>
      </c>
      <c r="K40" s="436">
        <v>0</v>
      </c>
      <c r="L40" s="436">
        <v>0</v>
      </c>
      <c r="M40" s="437">
        <f>SUM(H40:L40)</f>
        <v>0</v>
      </c>
    </row>
    <row r="41" spans="1:14" s="432" customFormat="1" ht="18" hidden="1" customHeight="1">
      <c r="A41" s="431"/>
      <c r="B41" s="433"/>
      <c r="C41" s="438" t="s">
        <v>1362</v>
      </c>
      <c r="D41" s="434"/>
      <c r="E41" s="434"/>
      <c r="F41" s="434"/>
      <c r="G41" s="435"/>
      <c r="H41" s="436">
        <f t="shared" ref="H41:M41" si="8">H42</f>
        <v>0</v>
      </c>
      <c r="I41" s="436">
        <f t="shared" si="8"/>
        <v>0</v>
      </c>
      <c r="J41" s="436">
        <f t="shared" si="8"/>
        <v>0</v>
      </c>
      <c r="K41" s="436">
        <f t="shared" si="8"/>
        <v>0</v>
      </c>
      <c r="L41" s="436">
        <f t="shared" si="8"/>
        <v>0</v>
      </c>
      <c r="M41" s="437">
        <f t="shared" si="8"/>
        <v>0</v>
      </c>
    </row>
    <row r="42" spans="1:14" s="432" customFormat="1" ht="18" hidden="1" customHeight="1">
      <c r="A42" s="431"/>
      <c r="B42" s="452"/>
      <c r="C42" s="453" t="s">
        <v>1361</v>
      </c>
      <c r="D42" s="454"/>
      <c r="E42" s="454"/>
      <c r="F42" s="454"/>
      <c r="G42" s="455"/>
      <c r="H42" s="456">
        <v>0</v>
      </c>
      <c r="I42" s="456">
        <v>0</v>
      </c>
      <c r="J42" s="456">
        <v>0</v>
      </c>
      <c r="K42" s="456">
        <v>0</v>
      </c>
      <c r="L42" s="456">
        <v>0</v>
      </c>
      <c r="M42" s="457">
        <f>SUM(H42:L42)</f>
        <v>0</v>
      </c>
    </row>
    <row r="43" spans="1:14" s="432" customFormat="1" ht="18" customHeight="1" collapsed="1">
      <c r="A43" s="431"/>
      <c r="B43" s="449" t="s">
        <v>1242</v>
      </c>
      <c r="C43" s="477" t="s">
        <v>1384</v>
      </c>
      <c r="D43" s="477"/>
      <c r="E43" s="477"/>
      <c r="F43" s="477"/>
      <c r="G43" s="477"/>
      <c r="H43" s="450">
        <f t="shared" ref="H43:M43" si="9">ROUND(H5+H6+H7+H8+H9+H10+H21+H22+H23+H24+H27+H29+H31+H33+H35+H37+H39+H41,2)</f>
        <v>2854884000</v>
      </c>
      <c r="I43" s="450">
        <f t="shared" si="9"/>
        <v>142972000</v>
      </c>
      <c r="J43" s="450">
        <f t="shared" si="9"/>
        <v>274914000</v>
      </c>
      <c r="K43" s="450">
        <f t="shared" si="9"/>
        <v>128598000</v>
      </c>
      <c r="L43" s="450">
        <f t="shared" si="9"/>
        <v>36200000</v>
      </c>
      <c r="M43" s="451">
        <f t="shared" si="9"/>
        <v>3437568000</v>
      </c>
    </row>
    <row r="44" spans="1:14" ht="18" customHeight="1">
      <c r="A44" s="429"/>
      <c r="B44" s="458"/>
      <c r="C44" s="458"/>
      <c r="D44" s="458"/>
      <c r="E44" s="458"/>
      <c r="F44" s="458"/>
      <c r="G44" s="459"/>
      <c r="H44" s="458"/>
      <c r="I44" s="458"/>
      <c r="J44" s="458"/>
      <c r="K44" s="458"/>
      <c r="L44" s="458"/>
      <c r="M44" s="458"/>
      <c r="N44" s="429"/>
    </row>
    <row r="45" spans="1:14" s="432" customFormat="1" ht="18" customHeight="1">
      <c r="A45" s="431"/>
      <c r="B45" s="449" t="s">
        <v>1242</v>
      </c>
      <c r="C45" s="477" t="s">
        <v>1385</v>
      </c>
      <c r="D45" s="477"/>
      <c r="E45" s="477"/>
      <c r="F45" s="477"/>
      <c r="G45" s="477"/>
      <c r="H45" s="450">
        <f>ROUND(2123409235.13,-3)</f>
        <v>2123409000</v>
      </c>
      <c r="I45" s="450">
        <f>ROUND(174833822.43,-3)</f>
        <v>174834000</v>
      </c>
      <c r="J45" s="450">
        <f>ROUND(302687221.49,-3)</f>
        <v>302687000</v>
      </c>
      <c r="K45" s="450">
        <f>ROUND(48853111.66,-3)</f>
        <v>48853000</v>
      </c>
      <c r="L45" s="450">
        <v>0</v>
      </c>
      <c r="M45" s="451">
        <f t="shared" ref="M45:M64" si="10">SUM(H45:L45)</f>
        <v>2649783000</v>
      </c>
    </row>
    <row r="46" spans="1:14" s="432" customFormat="1" ht="18" hidden="1" customHeight="1">
      <c r="A46" s="431"/>
      <c r="B46" s="444"/>
      <c r="C46" s="445" t="s">
        <v>1308</v>
      </c>
      <c r="D46" s="445"/>
      <c r="E46" s="445"/>
      <c r="F46" s="445"/>
      <c r="G46" s="446"/>
      <c r="H46" s="447">
        <v>0</v>
      </c>
      <c r="I46" s="447">
        <v>0</v>
      </c>
      <c r="J46" s="447">
        <v>0</v>
      </c>
      <c r="K46" s="447">
        <v>0</v>
      </c>
      <c r="L46" s="447">
        <v>0</v>
      </c>
      <c r="M46" s="448">
        <f t="shared" si="10"/>
        <v>0</v>
      </c>
    </row>
    <row r="47" spans="1:14" s="432" customFormat="1" ht="18" hidden="1" customHeight="1">
      <c r="A47" s="431"/>
      <c r="B47" s="433"/>
      <c r="C47" s="434" t="s">
        <v>1342</v>
      </c>
      <c r="D47" s="434"/>
      <c r="E47" s="434"/>
      <c r="F47" s="434"/>
      <c r="G47" s="435"/>
      <c r="H47" s="436">
        <v>0</v>
      </c>
      <c r="I47" s="436">
        <v>0</v>
      </c>
      <c r="J47" s="436">
        <v>0</v>
      </c>
      <c r="K47" s="436">
        <v>0</v>
      </c>
      <c r="L47" s="436">
        <v>0</v>
      </c>
      <c r="M47" s="437">
        <f t="shared" si="10"/>
        <v>0</v>
      </c>
    </row>
    <row r="48" spans="1:14" s="432" customFormat="1" ht="18" hidden="1" customHeight="1">
      <c r="A48" s="431"/>
      <c r="B48" s="433"/>
      <c r="C48" s="434" t="s">
        <v>1343</v>
      </c>
      <c r="D48" s="434"/>
      <c r="E48" s="434"/>
      <c r="F48" s="434"/>
      <c r="G48" s="435"/>
      <c r="H48" s="436">
        <v>0</v>
      </c>
      <c r="I48" s="436">
        <v>0</v>
      </c>
      <c r="J48" s="436">
        <v>0</v>
      </c>
      <c r="K48" s="436">
        <v>0</v>
      </c>
      <c r="L48" s="436">
        <v>0</v>
      </c>
      <c r="M48" s="437">
        <f t="shared" si="10"/>
        <v>0</v>
      </c>
    </row>
    <row r="49" spans="1:13" s="432" customFormat="1" ht="18" hidden="1" customHeight="1">
      <c r="A49" s="431"/>
      <c r="B49" s="433"/>
      <c r="C49" s="434" t="s">
        <v>1353</v>
      </c>
      <c r="D49" s="434"/>
      <c r="E49" s="434"/>
      <c r="F49" s="434"/>
      <c r="G49" s="435"/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7">
        <f t="shared" si="10"/>
        <v>0</v>
      </c>
    </row>
    <row r="50" spans="1:13" s="432" customFormat="1" ht="18" customHeight="1" collapsed="1">
      <c r="A50" s="431"/>
      <c r="B50" s="433"/>
      <c r="C50" s="434" t="s">
        <v>1118</v>
      </c>
      <c r="D50" s="434"/>
      <c r="E50" s="434"/>
      <c r="F50" s="434"/>
      <c r="G50" s="435" t="s">
        <v>1380</v>
      </c>
      <c r="H50" s="436">
        <f>H51+H57+H59+H60</f>
        <v>0</v>
      </c>
      <c r="I50" s="436">
        <f>I51+I57+I59+I60</f>
        <v>0</v>
      </c>
      <c r="J50" s="436">
        <f>J51+J57+J59+J60</f>
        <v>0</v>
      </c>
      <c r="K50" s="436">
        <f>K51+K57+K59+K60</f>
        <v>194000</v>
      </c>
      <c r="L50" s="436">
        <f>L51+L57+L59+L60</f>
        <v>0</v>
      </c>
      <c r="M50" s="437">
        <f t="shared" si="10"/>
        <v>194000</v>
      </c>
    </row>
    <row r="51" spans="1:13" s="432" customFormat="1" ht="18" hidden="1" customHeight="1">
      <c r="A51" s="431"/>
      <c r="B51" s="433"/>
      <c r="C51" s="438" t="s">
        <v>1378</v>
      </c>
      <c r="D51" s="434"/>
      <c r="E51" s="434"/>
      <c r="F51" s="434"/>
      <c r="G51" s="435"/>
      <c r="H51" s="436">
        <f>SUM(H52:H56)</f>
        <v>0</v>
      </c>
      <c r="I51" s="436">
        <f>SUM(I52:I56)</f>
        <v>0</v>
      </c>
      <c r="J51" s="436">
        <f>SUM(J52:J56)</f>
        <v>0</v>
      </c>
      <c r="K51" s="436">
        <f>SUM(K52:K56)</f>
        <v>0</v>
      </c>
      <c r="L51" s="436">
        <f>SUM(L52:L56)</f>
        <v>0</v>
      </c>
      <c r="M51" s="437">
        <f t="shared" si="10"/>
        <v>0</v>
      </c>
    </row>
    <row r="52" spans="1:13" s="432" customFormat="1" ht="18" hidden="1" customHeight="1">
      <c r="A52" s="431"/>
      <c r="B52" s="433"/>
      <c r="C52" s="439" t="s">
        <v>1377</v>
      </c>
      <c r="D52" s="434"/>
      <c r="E52" s="434"/>
      <c r="F52" s="434"/>
      <c r="G52" s="435"/>
      <c r="H52" s="436">
        <v>0</v>
      </c>
      <c r="I52" s="436">
        <v>0</v>
      </c>
      <c r="J52" s="436">
        <v>0</v>
      </c>
      <c r="K52" s="436">
        <v>0</v>
      </c>
      <c r="L52" s="436">
        <v>0</v>
      </c>
      <c r="M52" s="437">
        <f t="shared" si="10"/>
        <v>0</v>
      </c>
    </row>
    <row r="53" spans="1:13" s="432" customFormat="1" ht="18" hidden="1" customHeight="1">
      <c r="A53" s="431"/>
      <c r="B53" s="433"/>
      <c r="C53" s="439" t="s">
        <v>1376</v>
      </c>
      <c r="D53" s="434"/>
      <c r="E53" s="434"/>
      <c r="F53" s="434"/>
      <c r="G53" s="435"/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7">
        <f t="shared" si="10"/>
        <v>0</v>
      </c>
    </row>
    <row r="54" spans="1:13" s="432" customFormat="1" ht="18" hidden="1" customHeight="1">
      <c r="A54" s="431"/>
      <c r="B54" s="433"/>
      <c r="C54" s="439" t="s">
        <v>1375</v>
      </c>
      <c r="D54" s="434"/>
      <c r="E54" s="434"/>
      <c r="F54" s="434"/>
      <c r="G54" s="435"/>
      <c r="H54" s="436">
        <v>0</v>
      </c>
      <c r="I54" s="436">
        <v>0</v>
      </c>
      <c r="J54" s="436">
        <v>0</v>
      </c>
      <c r="K54" s="436">
        <v>0</v>
      </c>
      <c r="L54" s="436">
        <v>0</v>
      </c>
      <c r="M54" s="437">
        <f t="shared" si="10"/>
        <v>0</v>
      </c>
    </row>
    <row r="55" spans="1:13" s="432" customFormat="1" ht="18" hidden="1" customHeight="1">
      <c r="A55" s="431"/>
      <c r="B55" s="433"/>
      <c r="C55" s="439" t="s">
        <v>1374</v>
      </c>
      <c r="D55" s="434"/>
      <c r="E55" s="434"/>
      <c r="F55" s="434"/>
      <c r="G55" s="435"/>
      <c r="H55" s="436">
        <v>0</v>
      </c>
      <c r="I55" s="436">
        <v>0</v>
      </c>
      <c r="J55" s="436">
        <v>0</v>
      </c>
      <c r="K55" s="436">
        <v>0</v>
      </c>
      <c r="L55" s="436">
        <v>0</v>
      </c>
      <c r="M55" s="437">
        <f t="shared" si="10"/>
        <v>0</v>
      </c>
    </row>
    <row r="56" spans="1:13" s="432" customFormat="1" ht="18" hidden="1" customHeight="1">
      <c r="A56" s="431"/>
      <c r="B56" s="433"/>
      <c r="C56" s="439" t="s">
        <v>1373</v>
      </c>
      <c r="D56" s="434"/>
      <c r="E56" s="434"/>
      <c r="F56" s="434"/>
      <c r="G56" s="435"/>
      <c r="H56" s="436">
        <v>0</v>
      </c>
      <c r="I56" s="436">
        <v>0</v>
      </c>
      <c r="J56" s="436">
        <v>0</v>
      </c>
      <c r="K56" s="436">
        <v>0</v>
      </c>
      <c r="L56" s="436">
        <v>0</v>
      </c>
      <c r="M56" s="437">
        <f t="shared" si="10"/>
        <v>0</v>
      </c>
    </row>
    <row r="57" spans="1:13" s="432" customFormat="1" ht="18" customHeight="1" collapsed="1">
      <c r="A57" s="431"/>
      <c r="B57" s="433"/>
      <c r="C57" s="438" t="s">
        <v>1354</v>
      </c>
      <c r="D57" s="434"/>
      <c r="E57" s="434"/>
      <c r="F57" s="434"/>
      <c r="G57" s="435"/>
      <c r="H57" s="436">
        <f>+H58</f>
        <v>0</v>
      </c>
      <c r="I57" s="436">
        <f>+I58</f>
        <v>0</v>
      </c>
      <c r="J57" s="436">
        <f>+J58</f>
        <v>0</v>
      </c>
      <c r="K57" s="436">
        <f>ROUND(+K58,-3)</f>
        <v>224000</v>
      </c>
      <c r="L57" s="436">
        <f>+L58</f>
        <v>0</v>
      </c>
      <c r="M57" s="437">
        <f t="shared" si="10"/>
        <v>224000</v>
      </c>
    </row>
    <row r="58" spans="1:13" s="432" customFormat="1" ht="18" hidden="1" customHeight="1">
      <c r="A58" s="431"/>
      <c r="B58" s="433"/>
      <c r="C58" s="440" t="s">
        <v>1372</v>
      </c>
      <c r="D58" s="434"/>
      <c r="E58" s="434"/>
      <c r="F58" s="434"/>
      <c r="G58" s="435"/>
      <c r="H58" s="436">
        <v>0</v>
      </c>
      <c r="I58" s="436">
        <v>0</v>
      </c>
      <c r="J58" s="436">
        <v>0</v>
      </c>
      <c r="K58" s="436">
        <v>223737.37</v>
      </c>
      <c r="L58" s="436">
        <v>0</v>
      </c>
      <c r="M58" s="437">
        <f t="shared" si="10"/>
        <v>223737.37</v>
      </c>
    </row>
    <row r="59" spans="1:13" s="432" customFormat="1" ht="18" hidden="1" customHeight="1">
      <c r="A59" s="431"/>
      <c r="B59" s="433"/>
      <c r="C59" s="438" t="s">
        <v>1150</v>
      </c>
      <c r="D59" s="434"/>
      <c r="E59" s="434"/>
      <c r="F59" s="434"/>
      <c r="G59" s="435"/>
      <c r="H59" s="436">
        <v>0</v>
      </c>
      <c r="I59" s="436">
        <v>0</v>
      </c>
      <c r="J59" s="436">
        <v>0</v>
      </c>
      <c r="K59" s="436">
        <v>0</v>
      </c>
      <c r="L59" s="436">
        <v>0</v>
      </c>
      <c r="M59" s="437">
        <f t="shared" si="10"/>
        <v>0</v>
      </c>
    </row>
    <row r="60" spans="1:13" s="432" customFormat="1" ht="18" customHeight="1" collapsed="1">
      <c r="A60" s="431"/>
      <c r="B60" s="433"/>
      <c r="C60" s="438" t="s">
        <v>1243</v>
      </c>
      <c r="D60" s="434"/>
      <c r="E60" s="434"/>
      <c r="F60" s="434"/>
      <c r="G60" s="435"/>
      <c r="H60" s="436">
        <v>0</v>
      </c>
      <c r="I60" s="436">
        <v>0</v>
      </c>
      <c r="J60" s="436">
        <v>0</v>
      </c>
      <c r="K60" s="436">
        <f>ROUND(-30030.77,-3)</f>
        <v>-30000</v>
      </c>
      <c r="L60" s="436">
        <v>0</v>
      </c>
      <c r="M60" s="437">
        <f t="shared" si="10"/>
        <v>-30000</v>
      </c>
    </row>
    <row r="61" spans="1:13" s="432" customFormat="1" ht="18" hidden="1" customHeight="1">
      <c r="A61" s="431"/>
      <c r="B61" s="433"/>
      <c r="C61" s="434" t="s">
        <v>1279</v>
      </c>
      <c r="D61" s="434"/>
      <c r="E61" s="434"/>
      <c r="F61" s="434"/>
      <c r="G61" s="435"/>
      <c r="H61" s="436">
        <v>0</v>
      </c>
      <c r="I61" s="436">
        <v>0</v>
      </c>
      <c r="J61" s="436">
        <v>0</v>
      </c>
      <c r="K61" s="436">
        <v>0</v>
      </c>
      <c r="L61" s="436">
        <v>0</v>
      </c>
      <c r="M61" s="437">
        <f t="shared" si="10"/>
        <v>0</v>
      </c>
    </row>
    <row r="62" spans="1:13" s="432" customFormat="1" ht="18" hidden="1" customHeight="1">
      <c r="A62" s="431"/>
      <c r="B62" s="433"/>
      <c r="C62" s="434" t="s">
        <v>1244</v>
      </c>
      <c r="D62" s="434"/>
      <c r="E62" s="434"/>
      <c r="F62" s="434"/>
      <c r="G62" s="435"/>
      <c r="H62" s="436">
        <v>0</v>
      </c>
      <c r="I62" s="436">
        <v>0</v>
      </c>
      <c r="J62" s="436">
        <v>0</v>
      </c>
      <c r="K62" s="436">
        <v>0</v>
      </c>
      <c r="L62" s="436">
        <v>0</v>
      </c>
      <c r="M62" s="437">
        <f t="shared" si="10"/>
        <v>0</v>
      </c>
    </row>
    <row r="63" spans="1:13" s="432" customFormat="1" ht="18" hidden="1" customHeight="1">
      <c r="A63" s="431"/>
      <c r="B63" s="433"/>
      <c r="C63" s="434" t="s">
        <v>1344</v>
      </c>
      <c r="D63" s="434"/>
      <c r="E63" s="434"/>
      <c r="F63" s="434"/>
      <c r="G63" s="435"/>
      <c r="H63" s="436">
        <v>0</v>
      </c>
      <c r="I63" s="436">
        <v>0</v>
      </c>
      <c r="J63" s="436">
        <v>0</v>
      </c>
      <c r="K63" s="436">
        <v>0</v>
      </c>
      <c r="L63" s="436">
        <v>0</v>
      </c>
      <c r="M63" s="437">
        <f t="shared" si="10"/>
        <v>0</v>
      </c>
    </row>
    <row r="64" spans="1:13" s="432" customFormat="1" ht="18" customHeight="1" collapsed="1">
      <c r="A64" s="431"/>
      <c r="B64" s="433"/>
      <c r="C64" s="434" t="s">
        <v>1287</v>
      </c>
      <c r="D64" s="434"/>
      <c r="E64" s="434"/>
      <c r="F64" s="434"/>
      <c r="G64" s="435"/>
      <c r="H64" s="436">
        <v>0</v>
      </c>
      <c r="I64" s="436">
        <v>0</v>
      </c>
      <c r="J64" s="436">
        <v>0</v>
      </c>
      <c r="K64" s="436">
        <v>0</v>
      </c>
      <c r="L64" s="436">
        <f>ROUND(21004333.27,-3)</f>
        <v>21004000</v>
      </c>
      <c r="M64" s="437">
        <f t="shared" si="10"/>
        <v>21004000</v>
      </c>
    </row>
    <row r="65" spans="1:13" s="432" customFormat="1" ht="18" customHeight="1">
      <c r="A65" s="431"/>
      <c r="B65" s="433"/>
      <c r="C65" s="434"/>
      <c r="D65" s="434"/>
      <c r="E65" s="434"/>
      <c r="F65" s="434"/>
      <c r="G65" s="435"/>
      <c r="H65" s="436"/>
      <c r="I65" s="436"/>
      <c r="J65" s="436"/>
      <c r="K65" s="436"/>
      <c r="L65" s="436"/>
      <c r="M65" s="437"/>
    </row>
    <row r="66" spans="1:13" s="432" customFormat="1" ht="18" hidden="1" customHeight="1">
      <c r="A66" s="431"/>
      <c r="B66" s="433"/>
      <c r="C66" s="434" t="s">
        <v>1355</v>
      </c>
      <c r="D66" s="434"/>
      <c r="E66" s="434"/>
      <c r="F66" s="434"/>
      <c r="G66" s="435"/>
      <c r="H66" s="436"/>
      <c r="I66" s="436"/>
      <c r="J66" s="436"/>
      <c r="K66" s="436"/>
      <c r="L66" s="436"/>
      <c r="M66" s="437"/>
    </row>
    <row r="67" spans="1:13" s="432" customFormat="1" ht="18" hidden="1" customHeight="1">
      <c r="A67" s="431"/>
      <c r="B67" s="433"/>
      <c r="C67" s="438" t="s">
        <v>1239</v>
      </c>
      <c r="D67" s="434"/>
      <c r="E67" s="434"/>
      <c r="F67" s="434"/>
      <c r="G67" s="435"/>
      <c r="H67" s="436">
        <f t="shared" ref="H67:M67" si="11">H68</f>
        <v>0</v>
      </c>
      <c r="I67" s="436">
        <f t="shared" si="11"/>
        <v>0</v>
      </c>
      <c r="J67" s="436">
        <f t="shared" si="11"/>
        <v>0</v>
      </c>
      <c r="K67" s="436">
        <f t="shared" si="11"/>
        <v>0</v>
      </c>
      <c r="L67" s="436">
        <f t="shared" si="11"/>
        <v>0</v>
      </c>
      <c r="M67" s="437">
        <f t="shared" si="11"/>
        <v>0</v>
      </c>
    </row>
    <row r="68" spans="1:13" s="432" customFormat="1" ht="18" hidden="1" customHeight="1">
      <c r="A68" s="431"/>
      <c r="B68" s="433"/>
      <c r="C68" s="440" t="s">
        <v>1371</v>
      </c>
      <c r="D68" s="434"/>
      <c r="E68" s="434"/>
      <c r="F68" s="434"/>
      <c r="G68" s="435"/>
      <c r="H68" s="436">
        <v>0</v>
      </c>
      <c r="I68" s="436">
        <v>0</v>
      </c>
      <c r="J68" s="436">
        <v>0</v>
      </c>
      <c r="K68" s="436">
        <v>0</v>
      </c>
      <c r="L68" s="436">
        <v>0</v>
      </c>
      <c r="M68" s="437">
        <f>SUM(H68:L68)</f>
        <v>0</v>
      </c>
    </row>
    <row r="69" spans="1:13" s="432" customFormat="1" ht="18" hidden="1" customHeight="1">
      <c r="A69" s="431"/>
      <c r="B69" s="433"/>
      <c r="C69" s="438" t="s">
        <v>1240</v>
      </c>
      <c r="D69" s="434"/>
      <c r="E69" s="434"/>
      <c r="F69" s="434"/>
      <c r="G69" s="435"/>
      <c r="H69" s="436">
        <f t="shared" ref="H69:M69" si="12">H70</f>
        <v>0</v>
      </c>
      <c r="I69" s="436">
        <f t="shared" si="12"/>
        <v>0</v>
      </c>
      <c r="J69" s="436">
        <f t="shared" si="12"/>
        <v>0</v>
      </c>
      <c r="K69" s="436">
        <f t="shared" si="12"/>
        <v>0</v>
      </c>
      <c r="L69" s="436">
        <f t="shared" si="12"/>
        <v>0</v>
      </c>
      <c r="M69" s="437">
        <f t="shared" si="12"/>
        <v>0</v>
      </c>
    </row>
    <row r="70" spans="1:13" s="432" customFormat="1" ht="18" hidden="1" customHeight="1">
      <c r="A70" s="431"/>
      <c r="B70" s="433"/>
      <c r="C70" s="440" t="s">
        <v>1370</v>
      </c>
      <c r="D70" s="434"/>
      <c r="E70" s="434"/>
      <c r="F70" s="434"/>
      <c r="G70" s="435"/>
      <c r="H70" s="436">
        <v>0</v>
      </c>
      <c r="I70" s="436">
        <v>0</v>
      </c>
      <c r="J70" s="436">
        <v>0</v>
      </c>
      <c r="K70" s="436">
        <v>0</v>
      </c>
      <c r="L70" s="436">
        <v>0</v>
      </c>
      <c r="M70" s="437">
        <f>SUM(H70:L70)</f>
        <v>0</v>
      </c>
    </row>
    <row r="71" spans="1:13" s="432" customFormat="1" ht="18" hidden="1" customHeight="1">
      <c r="A71" s="431"/>
      <c r="B71" s="433"/>
      <c r="C71" s="438" t="s">
        <v>1369</v>
      </c>
      <c r="D71" s="434"/>
      <c r="E71" s="434"/>
      <c r="F71" s="434"/>
      <c r="G71" s="435"/>
      <c r="H71" s="436">
        <f t="shared" ref="H71:M71" si="13">H72</f>
        <v>0</v>
      </c>
      <c r="I71" s="436">
        <f t="shared" si="13"/>
        <v>0</v>
      </c>
      <c r="J71" s="436">
        <f t="shared" si="13"/>
        <v>0</v>
      </c>
      <c r="K71" s="436">
        <f t="shared" si="13"/>
        <v>0</v>
      </c>
      <c r="L71" s="436">
        <f t="shared" si="13"/>
        <v>0</v>
      </c>
      <c r="M71" s="437">
        <f t="shared" si="13"/>
        <v>0</v>
      </c>
    </row>
    <row r="72" spans="1:13" s="432" customFormat="1" ht="18" hidden="1" customHeight="1">
      <c r="A72" s="431"/>
      <c r="B72" s="433"/>
      <c r="C72" s="440" t="s">
        <v>1368</v>
      </c>
      <c r="D72" s="434"/>
      <c r="E72" s="434"/>
      <c r="F72" s="434"/>
      <c r="G72" s="435"/>
      <c r="H72" s="436">
        <v>0</v>
      </c>
      <c r="I72" s="436">
        <v>0</v>
      </c>
      <c r="J72" s="436">
        <v>0</v>
      </c>
      <c r="K72" s="436">
        <v>0</v>
      </c>
      <c r="L72" s="436">
        <v>0</v>
      </c>
      <c r="M72" s="437">
        <f>SUM(H72:L72)</f>
        <v>0</v>
      </c>
    </row>
    <row r="73" spans="1:13" s="432" customFormat="1" ht="18" hidden="1" customHeight="1">
      <c r="A73" s="431"/>
      <c r="B73" s="433"/>
      <c r="C73" s="438" t="s">
        <v>1241</v>
      </c>
      <c r="D73" s="434"/>
      <c r="E73" s="434"/>
      <c r="F73" s="434"/>
      <c r="G73" s="435"/>
      <c r="H73" s="436">
        <f t="shared" ref="H73:M73" si="14">H74</f>
        <v>0</v>
      </c>
      <c r="I73" s="436">
        <f t="shared" si="14"/>
        <v>0</v>
      </c>
      <c r="J73" s="436">
        <f t="shared" si="14"/>
        <v>0</v>
      </c>
      <c r="K73" s="436">
        <f t="shared" si="14"/>
        <v>0</v>
      </c>
      <c r="L73" s="436">
        <f t="shared" si="14"/>
        <v>0</v>
      </c>
      <c r="M73" s="437">
        <f t="shared" si="14"/>
        <v>0</v>
      </c>
    </row>
    <row r="74" spans="1:13" s="432" customFormat="1" ht="18" hidden="1" customHeight="1">
      <c r="A74" s="431"/>
      <c r="B74" s="433"/>
      <c r="C74" s="440" t="s">
        <v>1367</v>
      </c>
      <c r="D74" s="434"/>
      <c r="E74" s="434"/>
      <c r="F74" s="434"/>
      <c r="G74" s="435"/>
      <c r="H74" s="436">
        <v>0</v>
      </c>
      <c r="I74" s="436">
        <v>0</v>
      </c>
      <c r="J74" s="436">
        <v>0</v>
      </c>
      <c r="K74" s="436">
        <v>0</v>
      </c>
      <c r="L74" s="436">
        <v>0</v>
      </c>
      <c r="M74" s="437">
        <f>SUM(H74:L74)</f>
        <v>0</v>
      </c>
    </row>
    <row r="75" spans="1:13" s="432" customFormat="1" ht="18" hidden="1" customHeight="1">
      <c r="A75" s="431"/>
      <c r="B75" s="433"/>
      <c r="C75" s="438" t="s">
        <v>1366</v>
      </c>
      <c r="D75" s="434"/>
      <c r="E75" s="434"/>
      <c r="F75" s="434"/>
      <c r="G75" s="435"/>
      <c r="H75" s="436">
        <f t="shared" ref="H75:M75" si="15">H76</f>
        <v>0</v>
      </c>
      <c r="I75" s="436">
        <f t="shared" si="15"/>
        <v>0</v>
      </c>
      <c r="J75" s="436">
        <f t="shared" si="15"/>
        <v>0</v>
      </c>
      <c r="K75" s="436">
        <f t="shared" si="15"/>
        <v>0</v>
      </c>
      <c r="L75" s="436">
        <f t="shared" si="15"/>
        <v>0</v>
      </c>
      <c r="M75" s="437">
        <f t="shared" si="15"/>
        <v>0</v>
      </c>
    </row>
    <row r="76" spans="1:13" s="432" customFormat="1" ht="18" hidden="1" customHeight="1">
      <c r="A76" s="431"/>
      <c r="B76" s="433"/>
      <c r="C76" s="440" t="s">
        <v>1365</v>
      </c>
      <c r="D76" s="434"/>
      <c r="E76" s="434"/>
      <c r="F76" s="434"/>
      <c r="G76" s="435"/>
      <c r="H76" s="436">
        <v>0</v>
      </c>
      <c r="I76" s="436">
        <v>0</v>
      </c>
      <c r="J76" s="436">
        <v>0</v>
      </c>
      <c r="K76" s="436">
        <v>0</v>
      </c>
      <c r="L76" s="436">
        <v>0</v>
      </c>
      <c r="M76" s="437">
        <f>SUM(H76:L76)</f>
        <v>0</v>
      </c>
    </row>
    <row r="77" spans="1:13" s="432" customFormat="1" ht="18" hidden="1" customHeight="1">
      <c r="A77" s="431"/>
      <c r="B77" s="433"/>
      <c r="C77" s="438" t="s">
        <v>1316</v>
      </c>
      <c r="D77" s="434"/>
      <c r="E77" s="434"/>
      <c r="F77" s="434"/>
      <c r="G77" s="435"/>
      <c r="H77" s="436">
        <f t="shared" ref="H77:M77" si="16">H78</f>
        <v>0</v>
      </c>
      <c r="I77" s="436">
        <f t="shared" si="16"/>
        <v>0</v>
      </c>
      <c r="J77" s="436">
        <f t="shared" si="16"/>
        <v>0</v>
      </c>
      <c r="K77" s="436">
        <f t="shared" si="16"/>
        <v>0</v>
      </c>
      <c r="L77" s="436">
        <f t="shared" si="16"/>
        <v>0</v>
      </c>
      <c r="M77" s="437">
        <f t="shared" si="16"/>
        <v>0</v>
      </c>
    </row>
    <row r="78" spans="1:13" s="432" customFormat="1" ht="18" hidden="1" customHeight="1">
      <c r="A78" s="431"/>
      <c r="B78" s="433"/>
      <c r="C78" s="440" t="s">
        <v>1364</v>
      </c>
      <c r="D78" s="434"/>
      <c r="E78" s="434"/>
      <c r="F78" s="434"/>
      <c r="G78" s="435"/>
      <c r="H78" s="436">
        <v>0</v>
      </c>
      <c r="I78" s="436">
        <v>0</v>
      </c>
      <c r="J78" s="436">
        <v>0</v>
      </c>
      <c r="K78" s="436">
        <v>0</v>
      </c>
      <c r="L78" s="436">
        <v>0</v>
      </c>
      <c r="M78" s="437">
        <f>SUM(H78:L78)</f>
        <v>0</v>
      </c>
    </row>
    <row r="79" spans="1:13" s="432" customFormat="1" ht="18" hidden="1" customHeight="1">
      <c r="A79" s="431"/>
      <c r="B79" s="433"/>
      <c r="C79" s="438" t="s">
        <v>1282</v>
      </c>
      <c r="D79" s="434"/>
      <c r="E79" s="434"/>
      <c r="F79" s="434"/>
      <c r="G79" s="435"/>
      <c r="H79" s="436">
        <f t="shared" ref="H79:M79" si="17">H80</f>
        <v>0</v>
      </c>
      <c r="I79" s="436">
        <f t="shared" si="17"/>
        <v>0</v>
      </c>
      <c r="J79" s="436">
        <f t="shared" si="17"/>
        <v>0</v>
      </c>
      <c r="K79" s="436">
        <f t="shared" si="17"/>
        <v>0</v>
      </c>
      <c r="L79" s="436">
        <f t="shared" si="17"/>
        <v>0</v>
      </c>
      <c r="M79" s="437">
        <f t="shared" si="17"/>
        <v>0</v>
      </c>
    </row>
    <row r="80" spans="1:13" s="432" customFormat="1" ht="18" hidden="1" customHeight="1">
      <c r="A80" s="431"/>
      <c r="B80" s="433"/>
      <c r="C80" s="440" t="s">
        <v>1363</v>
      </c>
      <c r="D80" s="434"/>
      <c r="E80" s="434"/>
      <c r="F80" s="434"/>
      <c r="G80" s="435"/>
      <c r="H80" s="436">
        <v>0</v>
      </c>
      <c r="I80" s="436">
        <v>0</v>
      </c>
      <c r="J80" s="436">
        <v>0</v>
      </c>
      <c r="K80" s="436">
        <v>0</v>
      </c>
      <c r="L80" s="436">
        <v>0</v>
      </c>
      <c r="M80" s="437">
        <f>SUM(H80:L80)</f>
        <v>0</v>
      </c>
    </row>
    <row r="81" spans="1:13" s="432" customFormat="1" ht="18" hidden="1" customHeight="1">
      <c r="A81" s="431"/>
      <c r="B81" s="433"/>
      <c r="C81" s="438" t="s">
        <v>1362</v>
      </c>
      <c r="D81" s="434"/>
      <c r="E81" s="434"/>
      <c r="F81" s="434"/>
      <c r="G81" s="435"/>
      <c r="H81" s="436">
        <f t="shared" ref="H81:M81" si="18">H82</f>
        <v>0</v>
      </c>
      <c r="I81" s="436">
        <f t="shared" si="18"/>
        <v>0</v>
      </c>
      <c r="J81" s="436">
        <f t="shared" si="18"/>
        <v>0</v>
      </c>
      <c r="K81" s="436">
        <f t="shared" si="18"/>
        <v>0</v>
      </c>
      <c r="L81" s="436">
        <f t="shared" si="18"/>
        <v>0</v>
      </c>
      <c r="M81" s="437">
        <f t="shared" si="18"/>
        <v>0</v>
      </c>
    </row>
    <row r="82" spans="1:13" s="432" customFormat="1" ht="18" hidden="1" customHeight="1">
      <c r="A82" s="431"/>
      <c r="B82" s="452"/>
      <c r="C82" s="453" t="s">
        <v>1361</v>
      </c>
      <c r="D82" s="454"/>
      <c r="E82" s="454"/>
      <c r="F82" s="454"/>
      <c r="G82" s="455"/>
      <c r="H82" s="456">
        <v>0</v>
      </c>
      <c r="I82" s="456">
        <v>0</v>
      </c>
      <c r="J82" s="456">
        <v>0</v>
      </c>
      <c r="K82" s="456">
        <v>0</v>
      </c>
      <c r="L82" s="456">
        <v>0</v>
      </c>
      <c r="M82" s="457">
        <f>SUM(H82:L82)</f>
        <v>0</v>
      </c>
    </row>
    <row r="83" spans="1:13" s="432" customFormat="1" ht="18" customHeight="1" collapsed="1">
      <c r="A83" s="431"/>
      <c r="B83" s="449" t="s">
        <v>1242</v>
      </c>
      <c r="C83" s="477" t="s">
        <v>1386</v>
      </c>
      <c r="D83" s="477"/>
      <c r="E83" s="477"/>
      <c r="F83" s="477"/>
      <c r="G83" s="477"/>
      <c r="H83" s="450">
        <f t="shared" ref="H83:M83" si="19">ROUND(H45+H46+H47+H48+H49+H50+H61+H62+H63+H64+H67+H69+H71+H73+H75+H77+H79+H81,2)</f>
        <v>2123409000</v>
      </c>
      <c r="I83" s="450">
        <f t="shared" si="19"/>
        <v>174834000</v>
      </c>
      <c r="J83" s="450">
        <f t="shared" si="19"/>
        <v>302687000</v>
      </c>
      <c r="K83" s="450">
        <f t="shared" si="19"/>
        <v>49047000</v>
      </c>
      <c r="L83" s="450">
        <f t="shared" si="19"/>
        <v>21004000</v>
      </c>
      <c r="M83" s="451">
        <f t="shared" si="19"/>
        <v>2670981000</v>
      </c>
    </row>
    <row r="84" spans="1:13">
      <c r="B84" s="441" t="s">
        <v>1359</v>
      </c>
      <c r="C84" s="442"/>
      <c r="D84" s="442"/>
      <c r="E84" s="442"/>
      <c r="F84" s="442"/>
      <c r="G84" s="443"/>
      <c r="H84" s="442"/>
      <c r="I84" s="442"/>
      <c r="J84" s="442"/>
      <c r="K84" s="442"/>
      <c r="L84" s="442"/>
      <c r="M84" s="442"/>
    </row>
  </sheetData>
  <mergeCells count="11">
    <mergeCell ref="C83:G83"/>
    <mergeCell ref="L3:L4"/>
    <mergeCell ref="M3:M4"/>
    <mergeCell ref="C5:G5"/>
    <mergeCell ref="C43:G43"/>
    <mergeCell ref="C45:G45"/>
    <mergeCell ref="B3:G4"/>
    <mergeCell ref="H3:H4"/>
    <mergeCell ref="I3:I4"/>
    <mergeCell ref="J3:J4"/>
    <mergeCell ref="K3:K4"/>
  </mergeCells>
  <conditionalFormatting sqref="B12">
    <cfRule type="cellIs" dxfId="164" priority="45" operator="lessThan">
      <formula>0</formula>
    </cfRule>
  </conditionalFormatting>
  <conditionalFormatting sqref="B13">
    <cfRule type="cellIs" dxfId="163" priority="44" operator="lessThan">
      <formula>0</formula>
    </cfRule>
  </conditionalFormatting>
  <conditionalFormatting sqref="B14">
    <cfRule type="cellIs" dxfId="162" priority="43" operator="lessThan">
      <formula>0</formula>
    </cfRule>
  </conditionalFormatting>
  <conditionalFormatting sqref="B16">
    <cfRule type="cellIs" dxfId="161" priority="42" operator="lessThan">
      <formula>0</formula>
    </cfRule>
  </conditionalFormatting>
  <conditionalFormatting sqref="C12">
    <cfRule type="cellIs" dxfId="160" priority="41" operator="lessThan">
      <formula>0</formula>
    </cfRule>
  </conditionalFormatting>
  <conditionalFormatting sqref="C13">
    <cfRule type="cellIs" dxfId="159" priority="40" operator="lessThan">
      <formula>0</formula>
    </cfRule>
  </conditionalFormatting>
  <conditionalFormatting sqref="C14">
    <cfRule type="cellIs" dxfId="158" priority="39" operator="lessThan">
      <formula>0</formula>
    </cfRule>
  </conditionalFormatting>
  <conditionalFormatting sqref="C16">
    <cfRule type="cellIs" dxfId="157" priority="38" operator="lessThan">
      <formula>0</formula>
    </cfRule>
  </conditionalFormatting>
  <conditionalFormatting sqref="B52">
    <cfRule type="cellIs" dxfId="156" priority="37" operator="lessThan">
      <formula>0</formula>
    </cfRule>
  </conditionalFormatting>
  <conditionalFormatting sqref="B53">
    <cfRule type="cellIs" dxfId="155" priority="36" operator="lessThan">
      <formula>0</formula>
    </cfRule>
  </conditionalFormatting>
  <conditionalFormatting sqref="B54">
    <cfRule type="cellIs" dxfId="154" priority="35" operator="lessThan">
      <formula>0</formula>
    </cfRule>
  </conditionalFormatting>
  <conditionalFormatting sqref="B56">
    <cfRule type="cellIs" dxfId="153" priority="34" operator="lessThan">
      <formula>0</formula>
    </cfRule>
  </conditionalFormatting>
  <conditionalFormatting sqref="C52">
    <cfRule type="cellIs" dxfId="152" priority="33" operator="lessThan">
      <formula>0</formula>
    </cfRule>
  </conditionalFormatting>
  <conditionalFormatting sqref="C53">
    <cfRule type="cellIs" dxfId="151" priority="32" operator="lessThan">
      <formula>0</formula>
    </cfRule>
  </conditionalFormatting>
  <conditionalFormatting sqref="C54">
    <cfRule type="cellIs" dxfId="150" priority="31" operator="lessThan">
      <formula>0</formula>
    </cfRule>
  </conditionalFormatting>
  <conditionalFormatting sqref="C56">
    <cfRule type="cellIs" dxfId="149" priority="30" operator="lessThan">
      <formula>0</formula>
    </cfRule>
  </conditionalFormatting>
  <conditionalFormatting sqref="B55">
    <cfRule type="cellIs" dxfId="148" priority="29" operator="lessThan">
      <formula>0</formula>
    </cfRule>
  </conditionalFormatting>
  <conditionalFormatting sqref="C55">
    <cfRule type="cellIs" dxfId="147" priority="28" operator="lessThan">
      <formula>0</formula>
    </cfRule>
  </conditionalFormatting>
  <conditionalFormatting sqref="B15">
    <cfRule type="cellIs" dxfId="146" priority="27" operator="lessThan">
      <formula>0</formula>
    </cfRule>
  </conditionalFormatting>
  <conditionalFormatting sqref="C15">
    <cfRule type="cellIs" dxfId="145" priority="26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6"/>
  <dimension ref="A3:XEL56"/>
  <sheetViews>
    <sheetView showGridLines="0" zoomScale="90" zoomScaleNormal="90" workbookViewId="0">
      <pane ySplit="4" topLeftCell="A24" activePane="bottomLeft" state="frozen"/>
      <selection activeCell="B3" sqref="B3:E34"/>
      <selection pane="bottomLeft" activeCell="AC63" sqref="AC63"/>
    </sheetView>
  </sheetViews>
  <sheetFormatPr defaultRowHeight="12"/>
  <cols>
    <col min="1" max="1" width="1.7109375" style="186" customWidth="1"/>
    <col min="2" max="2" width="61.42578125" style="189" customWidth="1"/>
    <col min="3" max="3" width="32.28515625" style="406" hidden="1" customWidth="1"/>
    <col min="4" max="4" width="4.28515625" style="189" customWidth="1" collapsed="1"/>
    <col min="5" max="5" width="15.7109375" style="245" customWidth="1"/>
    <col min="6" max="6" width="14.42578125" style="245" customWidth="1"/>
    <col min="7" max="10" width="15.7109375" style="245" hidden="1" customWidth="1"/>
    <col min="11" max="11" width="12.140625" style="245" hidden="1" customWidth="1"/>
    <col min="12" max="12" width="11.85546875" style="245" hidden="1" customWidth="1"/>
    <col min="13" max="13" width="12.140625" style="245" hidden="1" customWidth="1"/>
    <col min="14" max="14" width="12" style="245" hidden="1" customWidth="1"/>
    <col min="15" max="19" width="15.7109375" style="245" hidden="1" customWidth="1"/>
    <col min="20" max="20" width="14.42578125" style="245" hidden="1" customWidth="1"/>
    <col min="21" max="23" width="15.7109375" style="245" hidden="1" customWidth="1"/>
    <col min="24" max="24" width="3.28515625" style="186" customWidth="1" collapsed="1"/>
    <col min="25" max="16384" width="9.140625" style="186"/>
  </cols>
  <sheetData>
    <row r="3" spans="1:23" s="188" customFormat="1" ht="15" customHeight="1">
      <c r="A3" s="187"/>
      <c r="B3" s="469" t="s">
        <v>1224</v>
      </c>
      <c r="C3" s="482"/>
      <c r="D3" s="470"/>
      <c r="E3" s="467" t="s">
        <v>1358</v>
      </c>
      <c r="F3" s="467" t="s">
        <v>1333</v>
      </c>
      <c r="G3" s="467">
        <v>2020</v>
      </c>
      <c r="H3" s="467">
        <v>2019</v>
      </c>
      <c r="I3" s="467" t="s">
        <v>1352</v>
      </c>
      <c r="J3" s="467" t="s">
        <v>1305</v>
      </c>
      <c r="K3" s="467" t="s">
        <v>1345</v>
      </c>
      <c r="L3" s="467" t="s">
        <v>1285</v>
      </c>
      <c r="M3" s="467" t="s">
        <v>1341</v>
      </c>
      <c r="N3" s="467" t="s">
        <v>1283</v>
      </c>
      <c r="O3" s="467" t="s">
        <v>1303</v>
      </c>
      <c r="P3" s="467" t="s">
        <v>1304</v>
      </c>
      <c r="Q3" s="467" t="s">
        <v>1306</v>
      </c>
      <c r="R3" s="467" t="s">
        <v>1284</v>
      </c>
      <c r="S3" s="467" t="s">
        <v>1286</v>
      </c>
      <c r="T3" s="467" t="s">
        <v>1280</v>
      </c>
      <c r="U3" s="467" t="s">
        <v>1281</v>
      </c>
      <c r="V3" s="467">
        <v>2018</v>
      </c>
      <c r="W3" s="467">
        <v>2017</v>
      </c>
    </row>
    <row r="4" spans="1:23" s="188" customFormat="1" ht="15" customHeight="1">
      <c r="A4" s="224"/>
      <c r="B4" s="471"/>
      <c r="C4" s="483"/>
      <c r="D4" s="472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</row>
    <row r="5" spans="1:23" ht="15" customHeight="1">
      <c r="B5" s="255" t="s">
        <v>1197</v>
      </c>
      <c r="C5" s="401"/>
      <c r="D5" s="256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</row>
    <row r="6" spans="1:23" ht="15" customHeight="1">
      <c r="B6" s="247" t="s">
        <v>1140</v>
      </c>
      <c r="C6" s="397"/>
      <c r="D6" s="248"/>
      <c r="E6" s="249">
        <f>VLOOKUP($B6,DRE!$B:$XFD,MATCH(E$3,DRE!$B$3:$XFD$3,0),FALSE)</f>
        <v>-449000</v>
      </c>
      <c r="F6" s="249">
        <f>VLOOKUP($B6,DRE!$B:$XFD,MATCH(F$3,DRE!$B$3:$XFD$3,0),FALSE)</f>
        <v>45919000</v>
      </c>
      <c r="G6" s="249">
        <f>VLOOKUP($B6,DRE!$B:$XFD,MATCH(G$3,DRE!$B$3:$XFD$3,0),FALSE)</f>
        <v>710880000</v>
      </c>
      <c r="H6" s="249">
        <f>VLOOKUP($B6,DRE!$B:$XFD,MATCH(H$3,DRE!$B$3:$XFD$3,0),FALSE)</f>
        <v>477919000</v>
      </c>
      <c r="I6" s="249">
        <f>VLOOKUP($B6,DRE!$B:$XFD,MATCH(I$3,DRE!$B$3:$XFD$3,0),FALSE)</f>
        <v>624282000</v>
      </c>
      <c r="J6" s="249">
        <f>VLOOKUP($B6,DRE!$B:$XFD,MATCH(J$3,DRE!$B$3:$XFD$3,0),FALSE)</f>
        <v>367091000</v>
      </c>
      <c r="K6" s="249">
        <f>VLOOKUP($B6,DRE!$B:$XFD,MATCH(K$3,DRE!$B$3:$XFD$3,0),FALSE)</f>
        <v>205635000</v>
      </c>
      <c r="L6" s="249">
        <f>VLOOKUP($B6,DRE!$B:$XFD,MATCH(L$3,DRE!$B$3:$XFD$3,0),FALSE)</f>
        <v>102074000</v>
      </c>
      <c r="M6" s="249">
        <f>VLOOKUP($B6,DRE!$B:$XFD,MATCH(M$3,DRE!$B$3:$XFD$3,0),FALSE)</f>
        <v>159715000</v>
      </c>
      <c r="N6" s="249">
        <f>VLOOKUP($B6,DRE!$B:$XFD,MATCH(N$3,DRE!$B$3:$XFD$3,0),FALSE)</f>
        <v>73761000</v>
      </c>
      <c r="O6" s="249">
        <f>VLOOKUP($B6,DRE!$B:$XFD,MATCH(O$3,DRE!$B$3:$XFD$3,0),FALSE)</f>
        <v>265019000</v>
      </c>
      <c r="P6" s="249">
        <f>VLOOKUP($B6,DRE!$B:$XFD,MATCH(P$3,DRE!$B$3:$XFD$3,0),FALSE)</f>
        <v>35782000</v>
      </c>
      <c r="Q6" s="249">
        <f>VLOOKUP($B6,DRE!$B:$XFD,MATCH(Q$3,DRE!$B$3:$XFD$3,0),FALSE)</f>
        <v>116366000</v>
      </c>
      <c r="R6" s="249">
        <f>VLOOKUP($B6,DRE!$B:$XFD,MATCH(R$3,DRE!$B$3:$XFD$3,0),FALSE)</f>
        <v>42535000</v>
      </c>
      <c r="S6" s="249">
        <f>VLOOKUP($B6,DRE!$B:$XFD,MATCH(S$3,DRE!$B$3:$XFD$3,0),FALSE)</f>
        <v>80583000</v>
      </c>
      <c r="T6" s="249">
        <f>VLOOKUP($B6,DRE!$B:$XFD,MATCH(T$3,DRE!$B$3:$XFD$3,0),FALSE)</f>
        <v>28313000</v>
      </c>
      <c r="U6" s="249">
        <f>VLOOKUP($B6,DRE!$B:$XFD,MATCH(U$3,DRE!$B$3:$XFD$3,0),FALSE)</f>
        <v>38049000</v>
      </c>
      <c r="V6" s="249">
        <f>VLOOKUP($B6,DRE!$B:$XFD,MATCH(V$3,DRE!$B$3:$XFD$3,0),FALSE)</f>
        <v>30256000</v>
      </c>
      <c r="W6" s="249">
        <f>VLOOKUP($B6,DRE!$B:$XFD,MATCH(W$3,DRE!$B$3:$XFD$3,0),FALSE)</f>
        <v>72533000</v>
      </c>
    </row>
    <row r="7" spans="1:23" ht="15" customHeight="1">
      <c r="B7" s="247" t="s">
        <v>1337</v>
      </c>
      <c r="C7" s="397"/>
      <c r="D7" s="248"/>
      <c r="E7" s="249">
        <f t="shared" ref="E7" si="0">SUM(E8:E20)</f>
        <v>-452000</v>
      </c>
      <c r="F7" s="249">
        <f>SUM(F8:F20)</f>
        <v>-41390000</v>
      </c>
      <c r="G7" s="249">
        <f>SUM(G8:G20)</f>
        <v>-699367000</v>
      </c>
      <c r="H7" s="249">
        <f>SUM(H8:H20)</f>
        <v>-451504000</v>
      </c>
      <c r="I7" s="249">
        <f t="shared" ref="I7" si="1">SUM(I8:I20)</f>
        <v>-613068000</v>
      </c>
      <c r="J7" s="249">
        <f>SUM(J8:J20)</f>
        <v>-345202000</v>
      </c>
      <c r="K7" s="249">
        <f t="shared" ref="K7:W7" si="2">SUM(K8:K20)</f>
        <v>-196723000</v>
      </c>
      <c r="L7" s="249">
        <f t="shared" si="2"/>
        <v>-86935000</v>
      </c>
      <c r="M7" s="249">
        <f>SUM(M8:M20)</f>
        <v>-155333000</v>
      </c>
      <c r="N7" s="249">
        <f>SUM(N8:N20)</f>
        <v>-66610000</v>
      </c>
      <c r="O7" s="249">
        <f t="shared" si="2"/>
        <v>-258268000</v>
      </c>
      <c r="P7" s="249">
        <f t="shared" si="2"/>
        <v>-27556000</v>
      </c>
      <c r="Q7" s="249">
        <f t="shared" si="2"/>
        <v>-87547000</v>
      </c>
      <c r="R7" s="249">
        <f t="shared" si="2"/>
        <v>-32065000</v>
      </c>
      <c r="S7" s="249">
        <f t="shared" si="2"/>
        <v>-59986000</v>
      </c>
      <c r="T7" s="249">
        <f t="shared" si="2"/>
        <v>-20326000</v>
      </c>
      <c r="U7" s="249">
        <f t="shared" si="2"/>
        <v>-27920000</v>
      </c>
      <c r="V7" s="249">
        <f t="shared" si="2"/>
        <v>7095000</v>
      </c>
      <c r="W7" s="249">
        <f t="shared" si="2"/>
        <v>3105000</v>
      </c>
    </row>
    <row r="8" spans="1:23" ht="15" customHeight="1">
      <c r="B8" s="250" t="s">
        <v>1338</v>
      </c>
      <c r="C8" s="398"/>
      <c r="D8" s="251"/>
      <c r="E8" s="252">
        <v>-26828000</v>
      </c>
      <c r="F8" s="252">
        <v>-45496000</v>
      </c>
      <c r="G8" s="252">
        <v>-745368000</v>
      </c>
      <c r="H8" s="252">
        <v>-480179000</v>
      </c>
      <c r="I8" s="252">
        <v>-649284000</v>
      </c>
      <c r="J8" s="252">
        <v>-365818000</v>
      </c>
      <c r="K8" s="252">
        <v>-209373000</v>
      </c>
      <c r="L8" s="252">
        <v>-88987000</v>
      </c>
      <c r="M8" s="252">
        <v>-163877000</v>
      </c>
      <c r="N8" s="252">
        <v>-67933000</v>
      </c>
      <c r="O8" s="252">
        <v>-276832000</v>
      </c>
      <c r="P8" s="252">
        <v>-22158000</v>
      </c>
      <c r="Q8" s="252">
        <v>-74229000</v>
      </c>
      <c r="R8" s="252">
        <v>-35954000</v>
      </c>
      <c r="S8" s="252">
        <v>-52071000</v>
      </c>
      <c r="T8" s="252">
        <v>-21054000</v>
      </c>
      <c r="U8" s="252">
        <v>-16117000</v>
      </c>
      <c r="V8" s="252">
        <v>-63443000</v>
      </c>
      <c r="W8" s="252">
        <v>20082000</v>
      </c>
    </row>
    <row r="9" spans="1:23" ht="15" customHeight="1">
      <c r="A9" s="244"/>
      <c r="B9" s="250" t="s">
        <v>1123</v>
      </c>
      <c r="C9" s="398"/>
      <c r="D9" s="251"/>
      <c r="E9" s="252">
        <v>6424000</v>
      </c>
      <c r="F9" s="252">
        <v>6298000</v>
      </c>
      <c r="G9" s="252">
        <v>24670000</v>
      </c>
      <c r="H9" s="252">
        <v>20171000</v>
      </c>
      <c r="I9" s="252">
        <v>17547000</v>
      </c>
      <c r="J9" s="252">
        <v>14408000</v>
      </c>
      <c r="K9" s="252">
        <v>11863000</v>
      </c>
      <c r="L9" s="252">
        <v>9079000</v>
      </c>
      <c r="M9" s="252">
        <v>5565000</v>
      </c>
      <c r="N9" s="252">
        <v>5067000</v>
      </c>
      <c r="O9" s="252">
        <v>5329000</v>
      </c>
      <c r="P9" s="252">
        <v>3811000</v>
      </c>
      <c r="Q9" s="252">
        <v>10952000</v>
      </c>
      <c r="R9" s="252">
        <v>4027000</v>
      </c>
      <c r="S9" s="252">
        <v>7141000</v>
      </c>
      <c r="T9" s="252">
        <v>4012000</v>
      </c>
      <c r="U9" s="252">
        <v>3114000</v>
      </c>
      <c r="V9" s="252">
        <v>14885000</v>
      </c>
      <c r="W9" s="252">
        <v>11358000</v>
      </c>
    </row>
    <row r="10" spans="1:23" ht="15" customHeight="1">
      <c r="A10" s="244"/>
      <c r="B10" s="250" t="s">
        <v>1198</v>
      </c>
      <c r="C10" s="398"/>
      <c r="D10" s="251"/>
      <c r="E10" s="252">
        <v>1022000</v>
      </c>
      <c r="F10" s="252">
        <v>1082000</v>
      </c>
      <c r="G10" s="252">
        <v>4683000</v>
      </c>
      <c r="H10" s="252">
        <v>7648000</v>
      </c>
      <c r="I10" s="252">
        <v>3366000</v>
      </c>
      <c r="J10" s="252">
        <v>5408000</v>
      </c>
      <c r="K10" s="252">
        <v>2679000</v>
      </c>
      <c r="L10" s="252">
        <v>2512000</v>
      </c>
      <c r="M10" s="252">
        <v>1597000</v>
      </c>
      <c r="N10" s="252">
        <v>1068000</v>
      </c>
      <c r="O10" s="252">
        <v>2895000</v>
      </c>
      <c r="P10" s="252">
        <v>770000</v>
      </c>
      <c r="Q10" s="252">
        <v>2118000</v>
      </c>
      <c r="R10" s="252">
        <v>722000</v>
      </c>
      <c r="S10" s="252">
        <v>1348000</v>
      </c>
      <c r="T10" s="252">
        <v>1444000</v>
      </c>
      <c r="U10" s="252">
        <v>627000</v>
      </c>
      <c r="V10" s="252">
        <v>3719000</v>
      </c>
      <c r="W10" s="252">
        <v>2604000</v>
      </c>
    </row>
    <row r="11" spans="1:23" ht="15" hidden="1" customHeight="1">
      <c r="B11" s="250" t="s">
        <v>1289</v>
      </c>
      <c r="C11" s="398"/>
      <c r="D11" s="251"/>
      <c r="E11" s="252">
        <v>0</v>
      </c>
      <c r="F11" s="252">
        <v>0</v>
      </c>
      <c r="G11" s="252">
        <v>0</v>
      </c>
      <c r="H11" s="252">
        <v>-4000</v>
      </c>
      <c r="I11" s="252">
        <v>0</v>
      </c>
      <c r="J11" s="252">
        <v>-3000</v>
      </c>
      <c r="K11" s="252">
        <v>0</v>
      </c>
      <c r="L11" s="252">
        <v>-2000</v>
      </c>
      <c r="M11" s="252">
        <v>0</v>
      </c>
      <c r="N11" s="252">
        <v>-2000</v>
      </c>
      <c r="O11" s="252">
        <v>-1000</v>
      </c>
      <c r="P11" s="252">
        <v>0</v>
      </c>
      <c r="Q11" s="252">
        <v>0</v>
      </c>
      <c r="R11" s="252">
        <v>0</v>
      </c>
      <c r="S11" s="252">
        <v>0</v>
      </c>
      <c r="T11" s="252">
        <v>0</v>
      </c>
      <c r="U11" s="252">
        <v>0</v>
      </c>
      <c r="V11" s="252">
        <v>0</v>
      </c>
      <c r="W11" s="252">
        <v>0</v>
      </c>
    </row>
    <row r="12" spans="1:23" ht="15" customHeight="1" collapsed="1">
      <c r="B12" s="250" t="s">
        <v>1199</v>
      </c>
      <c r="C12" s="398"/>
      <c r="D12" s="251"/>
      <c r="E12" s="252">
        <v>50000</v>
      </c>
      <c r="F12" s="252">
        <v>2056000</v>
      </c>
      <c r="G12" s="252">
        <v>3054000</v>
      </c>
      <c r="H12" s="252">
        <v>4412000</v>
      </c>
      <c r="I12" s="252">
        <v>2644000</v>
      </c>
      <c r="J12" s="252">
        <v>3845000</v>
      </c>
      <c r="K12" s="252">
        <v>2239000</v>
      </c>
      <c r="L12" s="252">
        <v>3079000</v>
      </c>
      <c r="M12" s="252">
        <v>183000</v>
      </c>
      <c r="N12" s="252">
        <v>2256000</v>
      </c>
      <c r="O12" s="252">
        <v>766000</v>
      </c>
      <c r="P12" s="252">
        <v>2607000</v>
      </c>
      <c r="Q12" s="252">
        <v>4267000</v>
      </c>
      <c r="R12" s="252">
        <v>1661000</v>
      </c>
      <c r="S12" s="252">
        <v>1661000</v>
      </c>
      <c r="T12" s="252">
        <v>823000</v>
      </c>
      <c r="U12" s="252">
        <v>0</v>
      </c>
      <c r="V12" s="252">
        <v>6270000</v>
      </c>
      <c r="W12" s="252">
        <v>2511000</v>
      </c>
    </row>
    <row r="13" spans="1:23" ht="15" customHeight="1">
      <c r="B13" s="250" t="s">
        <v>258</v>
      </c>
      <c r="C13" s="398"/>
      <c r="D13" s="251"/>
      <c r="E13" s="252">
        <v>1000</v>
      </c>
      <c r="F13" s="252">
        <v>0</v>
      </c>
      <c r="G13" s="252">
        <v>7000</v>
      </c>
      <c r="H13" s="252">
        <v>99000</v>
      </c>
      <c r="I13" s="252">
        <v>-4000</v>
      </c>
      <c r="J13" s="252">
        <v>76000</v>
      </c>
      <c r="K13" s="252">
        <v>-2000</v>
      </c>
      <c r="L13" s="252">
        <v>2000</v>
      </c>
      <c r="M13" s="252">
        <v>-2000</v>
      </c>
      <c r="N13" s="252">
        <v>0</v>
      </c>
      <c r="O13" s="252">
        <v>72000</v>
      </c>
      <c r="P13" s="252">
        <v>2000</v>
      </c>
      <c r="Q13" s="252">
        <v>-3000</v>
      </c>
      <c r="R13" s="252">
        <v>-1000</v>
      </c>
      <c r="S13" s="252">
        <v>0</v>
      </c>
      <c r="T13" s="252">
        <v>1000</v>
      </c>
      <c r="U13" s="252">
        <v>1000</v>
      </c>
      <c r="V13" s="252">
        <v>2000</v>
      </c>
      <c r="W13" s="252">
        <v>-1000</v>
      </c>
    </row>
    <row r="14" spans="1:23" ht="15" customHeight="1">
      <c r="B14" s="250" t="s">
        <v>1124</v>
      </c>
      <c r="C14" s="398"/>
      <c r="D14" s="251"/>
      <c r="E14" s="252">
        <v>-3228000</v>
      </c>
      <c r="F14" s="252">
        <v>2614000</v>
      </c>
      <c r="G14" s="252">
        <v>12734000</v>
      </c>
      <c r="H14" s="252">
        <v>9846000</v>
      </c>
      <c r="I14" s="252">
        <v>5724000</v>
      </c>
      <c r="J14" s="252">
        <v>6757000</v>
      </c>
      <c r="K14" s="252">
        <v>4746000</v>
      </c>
      <c r="L14" s="252">
        <v>4305000</v>
      </c>
      <c r="M14" s="252">
        <v>2132000</v>
      </c>
      <c r="N14" s="252">
        <v>2286000</v>
      </c>
      <c r="O14" s="252">
        <v>2452000</v>
      </c>
      <c r="P14" s="252">
        <v>5542000</v>
      </c>
      <c r="Q14" s="252">
        <v>8086000</v>
      </c>
      <c r="R14" s="252">
        <v>1873000</v>
      </c>
      <c r="S14" s="252">
        <v>2544000</v>
      </c>
      <c r="T14" s="252">
        <v>2019000</v>
      </c>
      <c r="U14" s="252">
        <v>671000</v>
      </c>
      <c r="V14" s="252">
        <v>8075000</v>
      </c>
      <c r="W14" s="252">
        <v>5102000</v>
      </c>
    </row>
    <row r="15" spans="1:23" ht="15" customHeight="1">
      <c r="B15" s="250" t="s">
        <v>363</v>
      </c>
      <c r="C15" s="399"/>
      <c r="D15" s="253"/>
      <c r="E15" s="252">
        <v>-564000</v>
      </c>
      <c r="F15" s="252">
        <v>-116000</v>
      </c>
      <c r="G15" s="252">
        <v>-5082000</v>
      </c>
      <c r="H15" s="252">
        <v>-877000</v>
      </c>
      <c r="I15" s="252">
        <v>-158000</v>
      </c>
      <c r="J15" s="252">
        <v>-724000</v>
      </c>
      <c r="K15" s="252">
        <v>-141000</v>
      </c>
      <c r="L15" s="252">
        <v>-524000</v>
      </c>
      <c r="M15" s="252">
        <v>-25000</v>
      </c>
      <c r="N15" s="252">
        <v>-244000</v>
      </c>
      <c r="O15" s="252">
        <v>-199000</v>
      </c>
      <c r="P15" s="252">
        <v>-25000</v>
      </c>
      <c r="Q15" s="252">
        <v>-164000</v>
      </c>
      <c r="R15" s="252">
        <v>-30000</v>
      </c>
      <c r="S15" s="252">
        <v>-139000</v>
      </c>
      <c r="T15" s="252">
        <v>-280000</v>
      </c>
      <c r="U15" s="252">
        <v>-109000</v>
      </c>
      <c r="V15" s="252">
        <v>-1202000</v>
      </c>
      <c r="W15" s="252">
        <v>-48000</v>
      </c>
    </row>
    <row r="16" spans="1:23" ht="15" customHeight="1">
      <c r="B16" s="250" t="s">
        <v>261</v>
      </c>
      <c r="C16" s="398"/>
      <c r="D16" s="251"/>
      <c r="E16" s="252">
        <v>1198000</v>
      </c>
      <c r="F16" s="252">
        <v>853000</v>
      </c>
      <c r="G16" s="252">
        <v>13883000</v>
      </c>
      <c r="H16" s="252">
        <v>16402000</v>
      </c>
      <c r="I16" s="252">
        <v>13868000</v>
      </c>
      <c r="J16" s="252">
        <v>16402000</v>
      </c>
      <c r="K16" s="252">
        <v>853000</v>
      </c>
      <c r="L16" s="252">
        <v>5000</v>
      </c>
      <c r="M16" s="252">
        <v>0</v>
      </c>
      <c r="N16" s="252">
        <v>0</v>
      </c>
      <c r="O16" s="252">
        <v>16397000</v>
      </c>
      <c r="P16" s="252">
        <v>133000</v>
      </c>
      <c r="Q16" s="252">
        <v>133000</v>
      </c>
      <c r="R16" s="252">
        <v>0</v>
      </c>
      <c r="S16" s="252">
        <v>0</v>
      </c>
      <c r="T16" s="252">
        <v>5000</v>
      </c>
      <c r="U16" s="252">
        <v>0</v>
      </c>
      <c r="V16" s="252">
        <v>901000</v>
      </c>
      <c r="W16" s="252">
        <v>0</v>
      </c>
    </row>
    <row r="17" spans="2:23" ht="15" customHeight="1">
      <c r="B17" s="250" t="s">
        <v>1278</v>
      </c>
      <c r="C17" s="398"/>
      <c r="D17" s="251"/>
      <c r="E17" s="252">
        <v>98835000</v>
      </c>
      <c r="F17" s="252">
        <v>1226000</v>
      </c>
      <c r="G17" s="252">
        <v>13225000</v>
      </c>
      <c r="H17" s="252">
        <v>15356000</v>
      </c>
      <c r="I17" s="252">
        <v>6893000</v>
      </c>
      <c r="J17" s="252">
        <v>6012000</v>
      </c>
      <c r="K17" s="252">
        <v>3503000</v>
      </c>
      <c r="L17" s="252">
        <v>3642000</v>
      </c>
      <c r="M17" s="252">
        <v>2277000</v>
      </c>
      <c r="N17" s="252">
        <v>1435000</v>
      </c>
      <c r="O17" s="252">
        <v>2370000</v>
      </c>
      <c r="P17" s="252">
        <v>0</v>
      </c>
      <c r="Q17" s="252">
        <v>1000</v>
      </c>
      <c r="R17" s="252">
        <v>0</v>
      </c>
      <c r="S17" s="252">
        <v>0</v>
      </c>
      <c r="T17" s="252">
        <v>2207000</v>
      </c>
      <c r="U17" s="252">
        <v>0</v>
      </c>
      <c r="V17" s="252">
        <v>87767000</v>
      </c>
      <c r="W17" s="252">
        <v>0</v>
      </c>
    </row>
    <row r="18" spans="2:23" ht="15" customHeight="1">
      <c r="B18" s="250" t="s">
        <v>1334</v>
      </c>
      <c r="C18" s="399"/>
      <c r="D18" s="253"/>
      <c r="E18" s="252">
        <v>-77572000</v>
      </c>
      <c r="F18" s="252">
        <v>-5006000</v>
      </c>
      <c r="G18" s="252">
        <v>-5396000</v>
      </c>
      <c r="H18" s="252">
        <v>0</v>
      </c>
      <c r="I18" s="252">
        <v>-5396000</v>
      </c>
      <c r="J18" s="252">
        <v>0</v>
      </c>
      <c r="K18" s="252">
        <v>-5126000</v>
      </c>
      <c r="L18" s="252">
        <v>0</v>
      </c>
      <c r="M18" s="252">
        <v>-120000</v>
      </c>
      <c r="N18" s="252">
        <v>0</v>
      </c>
      <c r="O18" s="252">
        <v>0</v>
      </c>
      <c r="P18" s="252">
        <v>0</v>
      </c>
      <c r="Q18" s="252">
        <v>0</v>
      </c>
      <c r="R18" s="252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</row>
    <row r="19" spans="2:23" ht="15" customHeight="1">
      <c r="B19" s="250" t="s">
        <v>1245</v>
      </c>
      <c r="C19" s="398"/>
      <c r="D19" s="251"/>
      <c r="E19" s="252">
        <v>-1283000</v>
      </c>
      <c r="F19" s="252">
        <v>-5828000</v>
      </c>
      <c r="G19" s="252">
        <v>-19661000</v>
      </c>
      <c r="H19" s="252">
        <v>-47797000</v>
      </c>
      <c r="I19" s="252">
        <v>-11146000</v>
      </c>
      <c r="J19" s="252">
        <v>-34490000</v>
      </c>
      <c r="K19" s="252">
        <v>-9798000</v>
      </c>
      <c r="L19" s="252">
        <v>-21968000</v>
      </c>
      <c r="M19" s="252">
        <v>-3970000</v>
      </c>
      <c r="N19" s="252">
        <v>-11527000</v>
      </c>
      <c r="O19" s="252">
        <v>-12521000</v>
      </c>
      <c r="P19" s="252">
        <v>-18238000</v>
      </c>
      <c r="Q19" s="252">
        <v>-38941000</v>
      </c>
      <c r="R19" s="252">
        <v>-4424000</v>
      </c>
      <c r="S19" s="252">
        <v>-20703000</v>
      </c>
      <c r="T19" s="252">
        <v>-10441000</v>
      </c>
      <c r="U19" s="252">
        <v>-16279000</v>
      </c>
      <c r="V19" s="252">
        <v>-50112000</v>
      </c>
      <c r="W19" s="252">
        <v>-38503000</v>
      </c>
    </row>
    <row r="20" spans="2:23" ht="15" customHeight="1">
      <c r="B20" s="250" t="s">
        <v>1116</v>
      </c>
      <c r="C20" s="398"/>
      <c r="D20" s="251"/>
      <c r="E20" s="252">
        <v>1493000</v>
      </c>
      <c r="F20" s="252">
        <v>927000</v>
      </c>
      <c r="G20" s="252">
        <v>3884000</v>
      </c>
      <c r="H20" s="252">
        <v>3419000</v>
      </c>
      <c r="I20" s="252">
        <v>2878000</v>
      </c>
      <c r="J20" s="252">
        <v>2925000</v>
      </c>
      <c r="K20" s="252">
        <v>1834000</v>
      </c>
      <c r="L20" s="252">
        <v>1922000</v>
      </c>
      <c r="M20" s="252">
        <v>907000</v>
      </c>
      <c r="N20" s="252">
        <v>984000</v>
      </c>
      <c r="O20" s="252">
        <v>1004000</v>
      </c>
      <c r="P20" s="252">
        <v>0</v>
      </c>
      <c r="Q20" s="252">
        <v>233000</v>
      </c>
      <c r="R20" s="252">
        <v>61000</v>
      </c>
      <c r="S20" s="252">
        <v>233000</v>
      </c>
      <c r="T20" s="252">
        <v>938000</v>
      </c>
      <c r="U20" s="252">
        <v>172000</v>
      </c>
      <c r="V20" s="252">
        <v>233000</v>
      </c>
      <c r="W20" s="252">
        <v>0</v>
      </c>
    </row>
    <row r="21" spans="2:23" ht="15" customHeight="1">
      <c r="B21" s="247" t="s">
        <v>1005</v>
      </c>
      <c r="C21" s="397"/>
      <c r="D21" s="248"/>
      <c r="E21" s="249">
        <f>E6+E7</f>
        <v>-901000</v>
      </c>
      <c r="F21" s="249">
        <f>F6+F7</f>
        <v>4529000</v>
      </c>
      <c r="G21" s="249">
        <f>G6+G7</f>
        <v>11513000</v>
      </c>
      <c r="H21" s="249">
        <f>H6+H7</f>
        <v>26415000</v>
      </c>
      <c r="I21" s="249">
        <f t="shared" ref="I21" si="3">I6+I7</f>
        <v>11214000</v>
      </c>
      <c r="J21" s="249">
        <f>J6+J7</f>
        <v>21889000</v>
      </c>
      <c r="K21" s="249">
        <f t="shared" ref="K21:W21" si="4">K6+K7</f>
        <v>8912000</v>
      </c>
      <c r="L21" s="249">
        <f t="shared" si="4"/>
        <v>15139000</v>
      </c>
      <c r="M21" s="249">
        <f>M6+M7</f>
        <v>4382000</v>
      </c>
      <c r="N21" s="249">
        <f>N6+N7</f>
        <v>7151000</v>
      </c>
      <c r="O21" s="249">
        <f t="shared" si="4"/>
        <v>6751000</v>
      </c>
      <c r="P21" s="249">
        <f t="shared" si="4"/>
        <v>8226000</v>
      </c>
      <c r="Q21" s="249">
        <f t="shared" si="4"/>
        <v>28819000</v>
      </c>
      <c r="R21" s="249">
        <f t="shared" si="4"/>
        <v>10470000</v>
      </c>
      <c r="S21" s="249">
        <f t="shared" si="4"/>
        <v>20597000</v>
      </c>
      <c r="T21" s="249">
        <f t="shared" si="4"/>
        <v>7987000</v>
      </c>
      <c r="U21" s="249">
        <f t="shared" si="4"/>
        <v>10129000</v>
      </c>
      <c r="V21" s="249">
        <f t="shared" si="4"/>
        <v>37351000</v>
      </c>
      <c r="W21" s="249">
        <f t="shared" si="4"/>
        <v>75638000</v>
      </c>
    </row>
    <row r="22" spans="2:23" ht="15" customHeight="1">
      <c r="B22" s="247" t="s">
        <v>1200</v>
      </c>
      <c r="C22" s="397"/>
      <c r="D22" s="248"/>
      <c r="E22" s="249">
        <f t="shared" ref="E22" si="5">SUM(E23:E35)</f>
        <v>-50440000</v>
      </c>
      <c r="F22" s="249">
        <f>SUM(F23:F35)</f>
        <v>-39540000</v>
      </c>
      <c r="G22" s="249">
        <f>SUM(G23:G35)</f>
        <v>-546291000</v>
      </c>
      <c r="H22" s="249">
        <f>SUM(H23:H35)</f>
        <v>-12634000</v>
      </c>
      <c r="I22" s="249">
        <f t="shared" ref="I22" si="6">SUM(I23:I35)</f>
        <v>-97400000</v>
      </c>
      <c r="J22" s="249">
        <f>SUM(J23:J35)</f>
        <v>-596185000</v>
      </c>
      <c r="K22" s="249">
        <f t="shared" ref="K22:O22" si="7">SUM(K23:K35)</f>
        <v>287597000</v>
      </c>
      <c r="L22" s="249">
        <f t="shared" si="7"/>
        <v>-67533000</v>
      </c>
      <c r="M22" s="249">
        <f>SUM(M23:M35)</f>
        <v>327139000</v>
      </c>
      <c r="N22" s="249">
        <f>SUM(N23:N35)</f>
        <v>-113693000</v>
      </c>
      <c r="O22" s="249">
        <f t="shared" si="7"/>
        <v>-528653000</v>
      </c>
      <c r="P22" s="249">
        <f t="shared" ref="P22:U22" si="8">SUM(P23:P35)</f>
        <v>-9994000</v>
      </c>
      <c r="Q22" s="249">
        <f t="shared" si="8"/>
        <v>-36577000</v>
      </c>
      <c r="R22" s="249">
        <f t="shared" si="8"/>
        <v>-8532000</v>
      </c>
      <c r="S22" s="249">
        <f t="shared" si="8"/>
        <v>-26585000</v>
      </c>
      <c r="T22" s="249">
        <f>SUM(T23:T35)</f>
        <v>46161000</v>
      </c>
      <c r="U22" s="249">
        <f t="shared" si="8"/>
        <v>-18054000</v>
      </c>
      <c r="V22" s="249">
        <f t="shared" ref="V22:W22" si="9">SUM(V23:V35)</f>
        <v>-66351000</v>
      </c>
      <c r="W22" s="249">
        <f t="shared" si="9"/>
        <v>-191538000</v>
      </c>
    </row>
    <row r="23" spans="2:23" ht="15" customHeight="1">
      <c r="B23" s="250" t="s">
        <v>1232</v>
      </c>
      <c r="C23" s="398"/>
      <c r="D23" s="251"/>
      <c r="E23" s="252">
        <v>-47340000</v>
      </c>
      <c r="F23" s="252">
        <v>-21730000</v>
      </c>
      <c r="G23" s="252">
        <v>-427954000</v>
      </c>
      <c r="H23" s="252">
        <v>27312000</v>
      </c>
      <c r="I23" s="252">
        <v>-34032000</v>
      </c>
      <c r="J23" s="252">
        <v>-566535000</v>
      </c>
      <c r="K23" s="252">
        <v>337459000</v>
      </c>
      <c r="L23" s="252">
        <v>-44583000</v>
      </c>
      <c r="M23" s="252">
        <v>359189000</v>
      </c>
      <c r="N23" s="252">
        <v>-99663000</v>
      </c>
      <c r="O23" s="252">
        <v>-521952000</v>
      </c>
      <c r="P23" s="252">
        <v>29921000</v>
      </c>
      <c r="Q23" s="252">
        <v>15372000</v>
      </c>
      <c r="R23" s="252">
        <v>635000</v>
      </c>
      <c r="S23" s="252">
        <v>-14548000</v>
      </c>
      <c r="T23" s="252">
        <v>55081000</v>
      </c>
      <c r="U23" s="252">
        <v>-15183000</v>
      </c>
      <c r="V23" s="252">
        <v>-129341000</v>
      </c>
      <c r="W23" s="252">
        <v>-155258000</v>
      </c>
    </row>
    <row r="24" spans="2:23" ht="15" customHeight="1">
      <c r="B24" s="250" t="s">
        <v>1201</v>
      </c>
      <c r="C24" s="398"/>
      <c r="D24" s="251"/>
      <c r="E24" s="252">
        <v>0</v>
      </c>
      <c r="F24" s="252">
        <v>10180000</v>
      </c>
      <c r="G24" s="252">
        <v>20089000</v>
      </c>
      <c r="H24" s="252">
        <v>4278000</v>
      </c>
      <c r="I24" s="252">
        <v>10180000</v>
      </c>
      <c r="J24" s="252">
        <v>4278000</v>
      </c>
      <c r="K24" s="252">
        <v>10180000</v>
      </c>
      <c r="L24" s="252">
        <v>4278000</v>
      </c>
      <c r="M24" s="252">
        <v>0</v>
      </c>
      <c r="N24" s="252">
        <v>4278000</v>
      </c>
      <c r="O24" s="252">
        <v>0</v>
      </c>
      <c r="P24" s="252">
        <v>3983000</v>
      </c>
      <c r="Q24" s="252">
        <v>3991000</v>
      </c>
      <c r="R24" s="252">
        <v>2000</v>
      </c>
      <c r="S24" s="252">
        <v>7000</v>
      </c>
      <c r="T24" s="252">
        <v>0</v>
      </c>
      <c r="U24" s="252">
        <v>5000</v>
      </c>
      <c r="V24" s="252">
        <v>4111000</v>
      </c>
      <c r="W24" s="252">
        <v>1594000</v>
      </c>
    </row>
    <row r="25" spans="2:23" ht="15" customHeight="1">
      <c r="B25" s="250" t="s">
        <v>1202</v>
      </c>
      <c r="C25" s="398"/>
      <c r="D25" s="251"/>
      <c r="E25" s="252">
        <v>6313000</v>
      </c>
      <c r="F25" s="252">
        <v>9536000</v>
      </c>
      <c r="G25" s="252">
        <v>-9180000</v>
      </c>
      <c r="H25" s="252">
        <v>77406000</v>
      </c>
      <c r="I25" s="252">
        <v>-12224000</v>
      </c>
      <c r="J25" s="252">
        <v>9990000</v>
      </c>
      <c r="K25" s="252">
        <v>-36716000</v>
      </c>
      <c r="L25" s="252">
        <v>1276000</v>
      </c>
      <c r="M25" s="252">
        <v>-46252000</v>
      </c>
      <c r="N25" s="252">
        <v>1090000</v>
      </c>
      <c r="O25" s="252">
        <v>8714000</v>
      </c>
      <c r="P25" s="252">
        <v>-4722000</v>
      </c>
      <c r="Q25" s="252">
        <v>-7496000</v>
      </c>
      <c r="R25" s="252">
        <v>-1837000</v>
      </c>
      <c r="S25" s="252">
        <v>-2774000</v>
      </c>
      <c r="T25" s="252">
        <v>187000</v>
      </c>
      <c r="U25" s="252">
        <v>-937000</v>
      </c>
      <c r="V25" s="252">
        <v>48846000</v>
      </c>
      <c r="W25" s="252">
        <v>8782000</v>
      </c>
    </row>
    <row r="26" spans="2:23" ht="15" customHeight="1">
      <c r="B26" s="250" t="s">
        <v>1203</v>
      </c>
      <c r="C26" s="398"/>
      <c r="D26" s="251"/>
      <c r="E26" s="252">
        <v>67000</v>
      </c>
      <c r="F26" s="252">
        <v>0</v>
      </c>
      <c r="G26" s="252">
        <v>-190000</v>
      </c>
      <c r="H26" s="252">
        <v>-70000</v>
      </c>
      <c r="I26" s="252">
        <v>-123000</v>
      </c>
      <c r="J26" s="252">
        <v>-113000</v>
      </c>
      <c r="K26" s="252">
        <v>0</v>
      </c>
      <c r="L26" s="252">
        <v>0</v>
      </c>
      <c r="M26" s="252">
        <v>0</v>
      </c>
      <c r="N26" s="252">
        <v>0</v>
      </c>
      <c r="O26" s="252">
        <v>-113000</v>
      </c>
      <c r="P26" s="252">
        <v>-24044000</v>
      </c>
      <c r="Q26" s="252">
        <v>-21572000</v>
      </c>
      <c r="R26" s="252">
        <v>0</v>
      </c>
      <c r="S26" s="252">
        <v>2471000</v>
      </c>
      <c r="T26" s="252">
        <v>0</v>
      </c>
      <c r="U26" s="252">
        <v>2471000</v>
      </c>
      <c r="V26" s="252">
        <v>2249000</v>
      </c>
      <c r="W26" s="252">
        <v>-2517000</v>
      </c>
    </row>
    <row r="27" spans="2:23" ht="15" customHeight="1">
      <c r="B27" s="250" t="s">
        <v>1204</v>
      </c>
      <c r="C27" s="398"/>
      <c r="D27" s="251"/>
      <c r="E27" s="252">
        <v>4916000</v>
      </c>
      <c r="F27" s="252">
        <v>0</v>
      </c>
      <c r="G27" s="252">
        <v>1000</v>
      </c>
      <c r="H27" s="252">
        <v>-2445000</v>
      </c>
      <c r="I27" s="252">
        <v>0</v>
      </c>
      <c r="J27" s="252">
        <v>-2449000</v>
      </c>
      <c r="K27" s="252">
        <v>0</v>
      </c>
      <c r="L27" s="252">
        <v>-2449000</v>
      </c>
      <c r="M27" s="252">
        <v>0</v>
      </c>
      <c r="N27" s="252">
        <v>0</v>
      </c>
      <c r="O27" s="252">
        <v>0</v>
      </c>
      <c r="P27" s="252">
        <v>0</v>
      </c>
      <c r="Q27" s="252">
        <v>0</v>
      </c>
      <c r="R27" s="252">
        <v>0</v>
      </c>
      <c r="S27" s="252">
        <v>0</v>
      </c>
      <c r="T27" s="252">
        <v>-2449000</v>
      </c>
      <c r="U27" s="252">
        <v>0</v>
      </c>
      <c r="V27" s="252">
        <v>0</v>
      </c>
      <c r="W27" s="252">
        <v>0</v>
      </c>
    </row>
    <row r="28" spans="2:23" ht="15" hidden="1" customHeight="1">
      <c r="B28" s="250" t="s">
        <v>1346</v>
      </c>
      <c r="C28" s="398"/>
      <c r="D28" s="251"/>
      <c r="E28" s="252">
        <v>0</v>
      </c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2">
        <v>0</v>
      </c>
      <c r="O28" s="252">
        <v>0</v>
      </c>
      <c r="P28" s="252">
        <v>0</v>
      </c>
      <c r="Q28" s="252">
        <v>0</v>
      </c>
      <c r="R28" s="252">
        <v>0</v>
      </c>
      <c r="S28" s="252">
        <v>0</v>
      </c>
      <c r="T28" s="252">
        <v>0</v>
      </c>
      <c r="U28" s="252">
        <v>0</v>
      </c>
      <c r="V28" s="252">
        <v>0</v>
      </c>
      <c r="W28" s="252">
        <v>0</v>
      </c>
    </row>
    <row r="29" spans="2:23" ht="15" customHeight="1" collapsed="1">
      <c r="B29" s="250" t="s">
        <v>1205</v>
      </c>
      <c r="C29" s="398"/>
      <c r="D29" s="251"/>
      <c r="E29" s="252">
        <v>-6327000</v>
      </c>
      <c r="F29" s="252">
        <v>-26574000</v>
      </c>
      <c r="G29" s="252">
        <v>-47726000</v>
      </c>
      <c r="H29" s="252">
        <v>-98620000</v>
      </c>
      <c r="I29" s="252">
        <v>-32662000</v>
      </c>
      <c r="J29" s="252">
        <v>-26847000</v>
      </c>
      <c r="K29" s="252">
        <v>-6991000</v>
      </c>
      <c r="L29" s="252">
        <v>-17104000</v>
      </c>
      <c r="M29" s="252">
        <v>19583000</v>
      </c>
      <c r="N29" s="252">
        <v>-13741000</v>
      </c>
      <c r="O29" s="252">
        <v>-9744000</v>
      </c>
      <c r="P29" s="252">
        <v>-8135000</v>
      </c>
      <c r="Q29" s="252">
        <v>-9886000</v>
      </c>
      <c r="R29" s="252">
        <v>-685000</v>
      </c>
      <c r="S29" s="252">
        <v>-1751000</v>
      </c>
      <c r="T29" s="252">
        <v>-3363000</v>
      </c>
      <c r="U29" s="252">
        <v>-1067000</v>
      </c>
      <c r="V29" s="252">
        <v>-79169000</v>
      </c>
      <c r="W29" s="252">
        <v>-26869000</v>
      </c>
    </row>
    <row r="30" spans="2:23" ht="15" customHeight="1">
      <c r="B30" s="250" t="s">
        <v>1206</v>
      </c>
      <c r="C30" s="398"/>
      <c r="D30" s="251"/>
      <c r="E30" s="252">
        <v>-8108000</v>
      </c>
      <c r="F30" s="252">
        <v>-7297000</v>
      </c>
      <c r="G30" s="252">
        <v>-28476000</v>
      </c>
      <c r="H30" s="252">
        <v>-27404000</v>
      </c>
      <c r="I30" s="252">
        <v>-21186000</v>
      </c>
      <c r="J30" s="252">
        <v>-18365000</v>
      </c>
      <c r="K30" s="252">
        <v>-14306000</v>
      </c>
      <c r="L30" s="252">
        <v>-11183000</v>
      </c>
      <c r="M30" s="252">
        <v>-7009000</v>
      </c>
      <c r="N30" s="252">
        <v>-5921000</v>
      </c>
      <c r="O30" s="252">
        <v>-7183000</v>
      </c>
      <c r="P30" s="252">
        <v>-4319000</v>
      </c>
      <c r="Q30" s="252">
        <v>-12475000</v>
      </c>
      <c r="R30" s="252">
        <v>-4899000</v>
      </c>
      <c r="S30" s="252">
        <v>-8156000</v>
      </c>
      <c r="T30" s="252">
        <v>-5262000</v>
      </c>
      <c r="U30" s="252">
        <v>-3257000</v>
      </c>
      <c r="V30" s="252">
        <v>-17784000</v>
      </c>
      <c r="W30" s="252">
        <v>-14457000</v>
      </c>
    </row>
    <row r="31" spans="2:23" ht="15" customHeight="1">
      <c r="B31" s="250" t="s">
        <v>1309</v>
      </c>
      <c r="C31" s="398"/>
      <c r="D31" s="251"/>
      <c r="E31" s="252">
        <v>0</v>
      </c>
      <c r="F31" s="252">
        <v>-1824000</v>
      </c>
      <c r="G31" s="252">
        <v>-53803000</v>
      </c>
      <c r="H31" s="252">
        <v>0</v>
      </c>
      <c r="I31" s="252">
        <v>-53803000</v>
      </c>
      <c r="J31" s="252">
        <v>0</v>
      </c>
      <c r="K31" s="252">
        <v>-53803000</v>
      </c>
      <c r="L31" s="252">
        <v>0</v>
      </c>
      <c r="M31" s="252">
        <v>-51977000</v>
      </c>
      <c r="N31" s="252">
        <v>0</v>
      </c>
      <c r="O31" s="252">
        <v>0</v>
      </c>
      <c r="P31" s="252">
        <v>0</v>
      </c>
      <c r="Q31" s="252"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</row>
    <row r="32" spans="2:23" ht="15" hidden="1" customHeight="1">
      <c r="B32" s="250" t="s">
        <v>1310</v>
      </c>
      <c r="C32" s="398"/>
      <c r="D32" s="251"/>
      <c r="E32" s="252">
        <v>0</v>
      </c>
      <c r="F32" s="252">
        <v>0</v>
      </c>
      <c r="G32" s="252">
        <v>0</v>
      </c>
      <c r="H32" s="252">
        <v>0</v>
      </c>
      <c r="I32" s="252">
        <v>0</v>
      </c>
      <c r="J32" s="252">
        <v>0</v>
      </c>
      <c r="K32" s="252">
        <v>0</v>
      </c>
      <c r="L32" s="252">
        <v>0</v>
      </c>
      <c r="M32" s="252">
        <v>0</v>
      </c>
      <c r="N32" s="252">
        <v>0</v>
      </c>
      <c r="O32" s="252">
        <v>0</v>
      </c>
      <c r="P32" s="252">
        <v>0</v>
      </c>
      <c r="Q32" s="252">
        <v>0</v>
      </c>
      <c r="R32" s="252">
        <v>0</v>
      </c>
      <c r="S32" s="252">
        <v>0</v>
      </c>
      <c r="T32" s="252">
        <v>0</v>
      </c>
      <c r="U32" s="252">
        <v>0</v>
      </c>
      <c r="V32" s="252">
        <v>0</v>
      </c>
      <c r="W32" s="252">
        <v>0</v>
      </c>
    </row>
    <row r="33" spans="2:23" ht="15" customHeight="1" collapsed="1">
      <c r="B33" s="250" t="s">
        <v>1277</v>
      </c>
      <c r="C33" s="398"/>
      <c r="D33" s="251"/>
      <c r="E33" s="252">
        <v>116000</v>
      </c>
      <c r="F33" s="252">
        <v>2472000</v>
      </c>
      <c r="G33" s="252">
        <v>-45549000</v>
      </c>
      <c r="H33" s="252">
        <v>11699000</v>
      </c>
      <c r="I33" s="252">
        <v>-547000</v>
      </c>
      <c r="J33" s="252">
        <v>7971000</v>
      </c>
      <c r="K33" s="252">
        <v>4319000</v>
      </c>
      <c r="L33" s="252">
        <v>5467000</v>
      </c>
      <c r="M33" s="252">
        <v>1847000</v>
      </c>
      <c r="N33" s="252">
        <v>2619000</v>
      </c>
      <c r="O33" s="252">
        <v>2505000</v>
      </c>
      <c r="P33" s="252">
        <v>0</v>
      </c>
      <c r="Q33" s="252">
        <v>0</v>
      </c>
      <c r="R33" s="252">
        <v>0</v>
      </c>
      <c r="S33" s="252">
        <v>0</v>
      </c>
      <c r="T33" s="252">
        <v>2847000</v>
      </c>
      <c r="U33" s="252">
        <v>0</v>
      </c>
      <c r="V33" s="252">
        <v>111305000</v>
      </c>
      <c r="W33" s="252">
        <v>0</v>
      </c>
    </row>
    <row r="34" spans="2:23" ht="15" customHeight="1">
      <c r="B34" s="250" t="s">
        <v>1207</v>
      </c>
      <c r="C34" s="398"/>
      <c r="D34" s="251"/>
      <c r="E34" s="252">
        <v>-50000</v>
      </c>
      <c r="F34" s="252">
        <v>-2056000</v>
      </c>
      <c r="G34" s="252">
        <v>-3103000</v>
      </c>
      <c r="H34" s="252">
        <v>-4580000</v>
      </c>
      <c r="I34" s="252">
        <v>-2644000</v>
      </c>
      <c r="J34" s="252">
        <v>-3978000</v>
      </c>
      <c r="K34" s="252">
        <v>-2239000</v>
      </c>
      <c r="L34" s="252">
        <v>-3137000</v>
      </c>
      <c r="M34" s="252">
        <v>-183000</v>
      </c>
      <c r="N34" s="252">
        <v>-2309000</v>
      </c>
      <c r="O34" s="252">
        <v>-841000</v>
      </c>
      <c r="P34" s="252">
        <v>-2607000</v>
      </c>
      <c r="Q34" s="252">
        <v>-4267000</v>
      </c>
      <c r="R34" s="252">
        <v>-1661000</v>
      </c>
      <c r="S34" s="252">
        <v>-1661000</v>
      </c>
      <c r="T34" s="252">
        <v>-828000</v>
      </c>
      <c r="U34" s="252">
        <v>0</v>
      </c>
      <c r="V34" s="252">
        <v>-6289000</v>
      </c>
      <c r="W34" s="252">
        <v>-2511000</v>
      </c>
    </row>
    <row r="35" spans="2:23" ht="15" customHeight="1">
      <c r="B35" s="250" t="s">
        <v>1311</v>
      </c>
      <c r="C35" s="398"/>
      <c r="D35" s="251"/>
      <c r="E35" s="252">
        <v>-27000</v>
      </c>
      <c r="F35" s="252">
        <v>-2247000</v>
      </c>
      <c r="G35" s="252">
        <v>49600000</v>
      </c>
      <c r="H35" s="252">
        <v>-210000</v>
      </c>
      <c r="I35" s="252">
        <v>49641000</v>
      </c>
      <c r="J35" s="252">
        <v>-137000</v>
      </c>
      <c r="K35" s="252">
        <v>49694000</v>
      </c>
      <c r="L35" s="252">
        <v>-98000</v>
      </c>
      <c r="M35" s="252">
        <v>51941000</v>
      </c>
      <c r="N35" s="252">
        <v>-46000</v>
      </c>
      <c r="O35" s="252">
        <v>-39000</v>
      </c>
      <c r="P35" s="252">
        <v>-71000</v>
      </c>
      <c r="Q35" s="252">
        <v>-244000</v>
      </c>
      <c r="R35" s="252">
        <v>-87000</v>
      </c>
      <c r="S35" s="252">
        <v>-173000</v>
      </c>
      <c r="T35" s="252">
        <v>-52000</v>
      </c>
      <c r="U35" s="252">
        <v>-86000</v>
      </c>
      <c r="V35" s="252">
        <v>-279000</v>
      </c>
      <c r="W35" s="252">
        <v>-302000</v>
      </c>
    </row>
    <row r="36" spans="2:23" ht="15" customHeight="1">
      <c r="B36" s="247" t="s">
        <v>1208</v>
      </c>
      <c r="C36" s="397"/>
      <c r="D36" s="248"/>
      <c r="E36" s="249">
        <v>56151000</v>
      </c>
      <c r="F36" s="249">
        <v>57684000</v>
      </c>
      <c r="G36" s="249">
        <v>112476000</v>
      </c>
      <c r="H36" s="249">
        <v>27148000</v>
      </c>
      <c r="I36" s="249">
        <v>112476000</v>
      </c>
      <c r="J36" s="249">
        <v>27148000</v>
      </c>
      <c r="K36" s="249">
        <v>95955000</v>
      </c>
      <c r="L36" s="249">
        <v>27110000</v>
      </c>
      <c r="M36" s="249">
        <v>38270000</v>
      </c>
      <c r="N36" s="249">
        <v>27110000</v>
      </c>
      <c r="O36" s="249">
        <v>39000</v>
      </c>
      <c r="P36" s="249">
        <v>12096000</v>
      </c>
      <c r="Q36" s="249">
        <v>33861000</v>
      </c>
      <c r="R36" s="249">
        <v>6581000</v>
      </c>
      <c r="S36" s="249">
        <v>21764000</v>
      </c>
      <c r="T36" s="249">
        <v>0</v>
      </c>
      <c r="U36" s="249">
        <v>15183000</v>
      </c>
      <c r="V36" s="249">
        <v>54026000</v>
      </c>
      <c r="W36" s="249">
        <v>23309000</v>
      </c>
    </row>
    <row r="37" spans="2:23" ht="15" customHeight="1">
      <c r="B37" s="247" t="s">
        <v>1209</v>
      </c>
      <c r="C37" s="397"/>
      <c r="D37" s="248"/>
      <c r="E37" s="249">
        <v>-5015000</v>
      </c>
      <c r="F37" s="249">
        <v>-10802000</v>
      </c>
      <c r="G37" s="249">
        <v>-12226000</v>
      </c>
      <c r="H37" s="249">
        <v>-133646000</v>
      </c>
      <c r="I37" s="249">
        <v>-12226000</v>
      </c>
      <c r="J37" s="249">
        <v>-63684000</v>
      </c>
      <c r="K37" s="249">
        <v>-10802000</v>
      </c>
      <c r="L37" s="249">
        <v>-60792000</v>
      </c>
      <c r="M37" s="249">
        <v>0</v>
      </c>
      <c r="N37" s="249">
        <v>-546000</v>
      </c>
      <c r="O37" s="249">
        <v>-2892000</v>
      </c>
      <c r="P37" s="249">
        <v>-21890000</v>
      </c>
      <c r="Q37" s="249">
        <v>-28648000</v>
      </c>
      <c r="R37" s="249">
        <v>-1378000</v>
      </c>
      <c r="S37" s="249">
        <v>-6758000</v>
      </c>
      <c r="T37" s="249">
        <v>-60246000</v>
      </c>
      <c r="U37" s="249">
        <v>-5380000</v>
      </c>
      <c r="V37" s="249">
        <v>-52072000</v>
      </c>
      <c r="W37" s="249">
        <v>-23798000</v>
      </c>
    </row>
    <row r="38" spans="2:23" ht="15" customHeight="1">
      <c r="B38" s="328" t="s">
        <v>1210</v>
      </c>
      <c r="C38" s="397"/>
      <c r="D38" s="329"/>
      <c r="E38" s="330">
        <v>-96000</v>
      </c>
      <c r="F38" s="330">
        <v>-202000</v>
      </c>
      <c r="G38" s="330">
        <v>-703000</v>
      </c>
      <c r="H38" s="330">
        <v>-693000</v>
      </c>
      <c r="I38" s="330">
        <v>-594000</v>
      </c>
      <c r="J38" s="330">
        <v>-390000</v>
      </c>
      <c r="K38" s="330">
        <v>-345000</v>
      </c>
      <c r="L38" s="330">
        <v>-240000</v>
      </c>
      <c r="M38" s="330">
        <v>-143000</v>
      </c>
      <c r="N38" s="330">
        <v>-92000</v>
      </c>
      <c r="O38" s="330">
        <v>-150000</v>
      </c>
      <c r="P38" s="330">
        <v>-207000</v>
      </c>
      <c r="Q38" s="330">
        <v>-679000</v>
      </c>
      <c r="R38" s="330">
        <v>-335000</v>
      </c>
      <c r="S38" s="330">
        <v>-472000</v>
      </c>
      <c r="T38" s="330">
        <v>-148000</v>
      </c>
      <c r="U38" s="330">
        <v>-138000</v>
      </c>
      <c r="V38" s="330">
        <v>-916000</v>
      </c>
      <c r="W38" s="249">
        <v>-496000</v>
      </c>
    </row>
    <row r="39" spans="2:23" ht="15" customHeight="1">
      <c r="B39" s="331" t="s">
        <v>1211</v>
      </c>
      <c r="C39" s="402"/>
      <c r="D39" s="332"/>
      <c r="E39" s="333">
        <f>E21+E22+E36+E37+E38</f>
        <v>-301000</v>
      </c>
      <c r="F39" s="333">
        <f>F21+F22+F36+F37+F38</f>
        <v>11669000</v>
      </c>
      <c r="G39" s="333">
        <f>G21+G22+G36+G37+G38</f>
        <v>-435231000</v>
      </c>
      <c r="H39" s="333">
        <f>H21+H22+H36+H37+H38</f>
        <v>-93410000</v>
      </c>
      <c r="I39" s="333">
        <f t="shared" ref="I39" si="10">I21+I22+I36+I37+I38</f>
        <v>13470000</v>
      </c>
      <c r="J39" s="333">
        <f>J21+J22+J36+J37+J38</f>
        <v>-611222000</v>
      </c>
      <c r="K39" s="333">
        <f t="shared" ref="K39:O39" si="11">K21+K22+K36+K37+K38</f>
        <v>381317000</v>
      </c>
      <c r="L39" s="333">
        <f t="shared" si="11"/>
        <v>-86316000</v>
      </c>
      <c r="M39" s="333">
        <f>M21+M22+M36+M37+M38</f>
        <v>369648000</v>
      </c>
      <c r="N39" s="333">
        <f>N21+N22+N36+N37+N38</f>
        <v>-80070000</v>
      </c>
      <c r="O39" s="333">
        <f t="shared" si="11"/>
        <v>-524905000</v>
      </c>
      <c r="P39" s="333">
        <f t="shared" ref="P39:U39" si="12">P21+P22+P36+P37+P38</f>
        <v>-11769000</v>
      </c>
      <c r="Q39" s="333">
        <f t="shared" si="12"/>
        <v>-3224000</v>
      </c>
      <c r="R39" s="333">
        <f t="shared" si="12"/>
        <v>6806000</v>
      </c>
      <c r="S39" s="333">
        <f t="shared" si="12"/>
        <v>8546000</v>
      </c>
      <c r="T39" s="333">
        <f>T21+T22+T36+T37+T38</f>
        <v>-6246000</v>
      </c>
      <c r="U39" s="333">
        <f t="shared" si="12"/>
        <v>1740000</v>
      </c>
      <c r="V39" s="333">
        <f t="shared" ref="V39:W39" si="13">V21+V22+V36+V37+V38</f>
        <v>-27962000</v>
      </c>
      <c r="W39" s="246">
        <f t="shared" si="13"/>
        <v>-116885000</v>
      </c>
    </row>
    <row r="40" spans="2:23" ht="15" customHeight="1">
      <c r="B40" s="255" t="s">
        <v>1212</v>
      </c>
      <c r="C40" s="402"/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46"/>
    </row>
    <row r="41" spans="2:23" ht="15" customHeight="1">
      <c r="B41" s="346" t="s">
        <v>1213</v>
      </c>
      <c r="C41" s="400"/>
      <c r="D41" s="347"/>
      <c r="E41" s="348">
        <v>0</v>
      </c>
      <c r="F41" s="348">
        <v>-7258000</v>
      </c>
      <c r="G41" s="348">
        <v>-21693000</v>
      </c>
      <c r="H41" s="348">
        <v>-265721000</v>
      </c>
      <c r="I41" s="348">
        <v>-8037000</v>
      </c>
      <c r="J41" s="348">
        <v>-9188000</v>
      </c>
      <c r="K41" s="348">
        <v>-7513000</v>
      </c>
      <c r="L41" s="348">
        <v>-7171000</v>
      </c>
      <c r="M41" s="348">
        <v>-255000</v>
      </c>
      <c r="N41" s="348">
        <v>-1601000</v>
      </c>
      <c r="O41" s="348">
        <v>-2017000</v>
      </c>
      <c r="P41" s="348">
        <v>-36051000</v>
      </c>
      <c r="Q41" s="348">
        <v>-50287000</v>
      </c>
      <c r="R41" s="348">
        <v>-5161000</v>
      </c>
      <c r="S41" s="348">
        <v>-14237000</v>
      </c>
      <c r="T41" s="348">
        <v>-5570000</v>
      </c>
      <c r="U41" s="348">
        <v>-9076000</v>
      </c>
      <c r="V41" s="348">
        <v>-57700000</v>
      </c>
      <c r="W41" s="249">
        <v>-64405000</v>
      </c>
    </row>
    <row r="42" spans="2:23" ht="15" hidden="1" customHeight="1">
      <c r="B42" s="346" t="s">
        <v>1312</v>
      </c>
      <c r="C42" s="400"/>
      <c r="D42" s="347"/>
      <c r="E42" s="348">
        <v>0</v>
      </c>
      <c r="F42" s="348">
        <v>0</v>
      </c>
      <c r="G42" s="348">
        <v>768221000</v>
      </c>
      <c r="H42" s="348">
        <v>515264000</v>
      </c>
      <c r="I42" s="348">
        <v>767913000</v>
      </c>
      <c r="J42" s="348">
        <v>515264000</v>
      </c>
      <c r="K42" s="348">
        <v>13783000</v>
      </c>
      <c r="L42" s="348">
        <v>0</v>
      </c>
      <c r="M42" s="348">
        <v>13783000</v>
      </c>
      <c r="N42" s="348">
        <v>0</v>
      </c>
      <c r="O42" s="348">
        <v>515264000</v>
      </c>
      <c r="P42" s="348">
        <v>0</v>
      </c>
      <c r="Q42" s="348">
        <v>0</v>
      </c>
      <c r="R42" s="348">
        <v>0</v>
      </c>
      <c r="S42" s="348">
        <v>0</v>
      </c>
      <c r="T42" s="348">
        <v>0</v>
      </c>
      <c r="U42" s="348">
        <v>0</v>
      </c>
      <c r="V42" s="348">
        <v>8000</v>
      </c>
      <c r="W42" s="249">
        <v>11403000</v>
      </c>
    </row>
    <row r="43" spans="2:23" ht="15" hidden="1" customHeight="1">
      <c r="B43" s="349" t="s">
        <v>1313</v>
      </c>
      <c r="C43" s="400"/>
      <c r="D43" s="350"/>
      <c r="E43" s="351">
        <v>0</v>
      </c>
      <c r="F43" s="351">
        <v>0</v>
      </c>
      <c r="G43" s="351">
        <v>0</v>
      </c>
      <c r="H43" s="351">
        <v>0</v>
      </c>
      <c r="I43" s="351">
        <v>0</v>
      </c>
      <c r="J43" s="351">
        <v>0</v>
      </c>
      <c r="K43" s="351">
        <v>0</v>
      </c>
      <c r="L43" s="351">
        <v>0</v>
      </c>
      <c r="M43" s="351">
        <v>0</v>
      </c>
      <c r="N43" s="351">
        <v>0</v>
      </c>
      <c r="O43" s="351">
        <v>0</v>
      </c>
      <c r="P43" s="351">
        <v>0</v>
      </c>
      <c r="Q43" s="351">
        <v>0</v>
      </c>
      <c r="R43" s="351">
        <v>0</v>
      </c>
      <c r="S43" s="351">
        <v>0</v>
      </c>
      <c r="T43" s="351">
        <v>0</v>
      </c>
      <c r="U43" s="351">
        <v>0</v>
      </c>
      <c r="V43" s="351">
        <v>0</v>
      </c>
      <c r="W43" s="249">
        <v>76000</v>
      </c>
    </row>
    <row r="44" spans="2:23" ht="15" customHeight="1" collapsed="1">
      <c r="B44" s="331" t="s">
        <v>1214</v>
      </c>
      <c r="C44" s="402"/>
      <c r="D44" s="332"/>
      <c r="E44" s="333">
        <f>SUM(E41:E43)</f>
        <v>0</v>
      </c>
      <c r="F44" s="333">
        <f>SUM(F41:F43)</f>
        <v>-7258000</v>
      </c>
      <c r="G44" s="333">
        <f>SUM(G41:G43)</f>
        <v>746528000</v>
      </c>
      <c r="H44" s="333">
        <f>SUM(H41:H43)</f>
        <v>249543000</v>
      </c>
      <c r="I44" s="333">
        <f t="shared" ref="I44" si="14">SUM(I41:I43)</f>
        <v>759876000</v>
      </c>
      <c r="J44" s="333">
        <f>SUM(J41:J43)</f>
        <v>506076000</v>
      </c>
      <c r="K44" s="333">
        <f t="shared" ref="K44:O44" si="15">SUM(K41:K43)</f>
        <v>6270000</v>
      </c>
      <c r="L44" s="333">
        <f t="shared" si="15"/>
        <v>-7171000</v>
      </c>
      <c r="M44" s="333">
        <f>SUM(M41:M43)</f>
        <v>13528000</v>
      </c>
      <c r="N44" s="333">
        <f>SUM(N41:N43)</f>
        <v>-1601000</v>
      </c>
      <c r="O44" s="333">
        <f t="shared" si="15"/>
        <v>513247000</v>
      </c>
      <c r="P44" s="333">
        <f t="shared" ref="P44:U44" si="16">SUM(P41:P43)</f>
        <v>-36051000</v>
      </c>
      <c r="Q44" s="333">
        <f t="shared" si="16"/>
        <v>-50287000</v>
      </c>
      <c r="R44" s="333">
        <f t="shared" si="16"/>
        <v>-5161000</v>
      </c>
      <c r="S44" s="333">
        <f t="shared" si="16"/>
        <v>-14237000</v>
      </c>
      <c r="T44" s="333">
        <f t="shared" si="16"/>
        <v>-5570000</v>
      </c>
      <c r="U44" s="333">
        <f t="shared" si="16"/>
        <v>-9076000</v>
      </c>
      <c r="V44" s="333">
        <f t="shared" ref="V44:W44" si="17">SUM(V41:V43)</f>
        <v>-57692000</v>
      </c>
      <c r="W44" s="246">
        <f t="shared" si="17"/>
        <v>-52926000</v>
      </c>
    </row>
    <row r="45" spans="2:23" ht="15" customHeight="1">
      <c r="B45" s="255" t="s">
        <v>1215</v>
      </c>
      <c r="C45" s="402"/>
      <c r="D45" s="256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46"/>
    </row>
    <row r="46" spans="2:23" ht="15" hidden="1" customHeight="1">
      <c r="B46" s="346" t="s">
        <v>1308</v>
      </c>
      <c r="C46" s="400"/>
      <c r="D46" s="347"/>
      <c r="E46" s="348">
        <v>0</v>
      </c>
      <c r="F46" s="348">
        <v>0</v>
      </c>
      <c r="G46" s="348">
        <v>0</v>
      </c>
      <c r="H46" s="348">
        <v>0</v>
      </c>
      <c r="I46" s="348">
        <v>0</v>
      </c>
      <c r="J46" s="348">
        <v>0</v>
      </c>
      <c r="K46" s="348">
        <v>0</v>
      </c>
      <c r="L46" s="348">
        <v>0</v>
      </c>
      <c r="M46" s="348">
        <v>0</v>
      </c>
      <c r="N46" s="348">
        <v>0</v>
      </c>
      <c r="O46" s="348">
        <v>0</v>
      </c>
      <c r="P46" s="348">
        <v>0</v>
      </c>
      <c r="Q46" s="348">
        <v>0</v>
      </c>
      <c r="R46" s="348">
        <v>0</v>
      </c>
      <c r="S46" s="348">
        <v>0</v>
      </c>
      <c r="T46" s="348">
        <v>0</v>
      </c>
      <c r="U46" s="348">
        <v>0</v>
      </c>
      <c r="V46" s="348">
        <v>0</v>
      </c>
      <c r="W46" s="249">
        <v>0</v>
      </c>
    </row>
    <row r="47" spans="2:23" ht="15" hidden="1" customHeight="1">
      <c r="B47" s="349" t="s">
        <v>1216</v>
      </c>
      <c r="C47" s="400"/>
      <c r="D47" s="350"/>
      <c r="E47" s="351">
        <v>0</v>
      </c>
      <c r="F47" s="351">
        <v>0</v>
      </c>
      <c r="G47" s="351">
        <v>-368058000</v>
      </c>
      <c r="H47" s="351">
        <v>-255566000</v>
      </c>
      <c r="I47" s="351">
        <v>-368058000</v>
      </c>
      <c r="J47" s="351">
        <v>0</v>
      </c>
      <c r="K47" s="351">
        <v>-368058000</v>
      </c>
      <c r="L47" s="351">
        <v>0</v>
      </c>
      <c r="M47" s="351">
        <v>-368058000</v>
      </c>
      <c r="N47" s="351">
        <v>0</v>
      </c>
      <c r="O47" s="351">
        <v>0</v>
      </c>
      <c r="P47" s="351">
        <v>0</v>
      </c>
      <c r="Q47" s="351">
        <v>-11217000</v>
      </c>
      <c r="R47" s="351">
        <v>-11217000</v>
      </c>
      <c r="S47" s="351">
        <v>-11217000</v>
      </c>
      <c r="T47" s="351">
        <v>0</v>
      </c>
      <c r="U47" s="351">
        <v>0</v>
      </c>
      <c r="V47" s="351">
        <v>-11217000</v>
      </c>
      <c r="W47" s="249">
        <v>0</v>
      </c>
    </row>
    <row r="48" spans="2:23" ht="15" hidden="1" customHeight="1">
      <c r="B48" s="411" t="s">
        <v>1343</v>
      </c>
      <c r="C48" s="400"/>
      <c r="D48" s="350"/>
      <c r="E48" s="351">
        <v>0</v>
      </c>
      <c r="F48" s="351">
        <v>0</v>
      </c>
      <c r="G48" s="351">
        <v>-383447000</v>
      </c>
      <c r="H48" s="351">
        <v>0</v>
      </c>
      <c r="I48" s="351">
        <v>-383447000</v>
      </c>
      <c r="J48" s="351">
        <v>0</v>
      </c>
      <c r="K48" s="351">
        <v>0</v>
      </c>
      <c r="L48" s="351">
        <v>0</v>
      </c>
      <c r="M48" s="351">
        <v>0</v>
      </c>
      <c r="N48" s="351">
        <v>0</v>
      </c>
      <c r="O48" s="351">
        <v>0</v>
      </c>
      <c r="P48" s="351">
        <v>0</v>
      </c>
      <c r="Q48" s="351">
        <v>0</v>
      </c>
      <c r="R48" s="351">
        <v>0</v>
      </c>
      <c r="S48" s="351">
        <v>0</v>
      </c>
      <c r="T48" s="351">
        <v>0</v>
      </c>
      <c r="U48" s="351">
        <v>0</v>
      </c>
      <c r="V48" s="351">
        <v>0</v>
      </c>
      <c r="W48" s="249">
        <v>0</v>
      </c>
    </row>
    <row r="49" spans="2:16366" ht="15" customHeight="1" collapsed="1">
      <c r="B49" s="331" t="s">
        <v>1217</v>
      </c>
      <c r="C49" s="402"/>
      <c r="D49" s="332"/>
      <c r="E49" s="333">
        <f t="shared" ref="E49" si="18">SUM(E46:E48)</f>
        <v>0</v>
      </c>
      <c r="F49" s="333">
        <f>SUM(F46:F48)</f>
        <v>0</v>
      </c>
      <c r="G49" s="333">
        <f>SUM(G46:G48)</f>
        <v>-751505000</v>
      </c>
      <c r="H49" s="333">
        <f>SUM(H46:H48)</f>
        <v>-255566000</v>
      </c>
      <c r="I49" s="333">
        <f t="shared" ref="I49" si="19">SUM(I46:I48)</f>
        <v>-751505000</v>
      </c>
      <c r="J49" s="333">
        <f>SUM(J46:J48)</f>
        <v>0</v>
      </c>
      <c r="K49" s="333">
        <f t="shared" ref="K49:O49" si="20">SUM(K46:K48)</f>
        <v>-368058000</v>
      </c>
      <c r="L49" s="333">
        <f t="shared" si="20"/>
        <v>0</v>
      </c>
      <c r="M49" s="333">
        <f>SUM(M46:M48)</f>
        <v>-368058000</v>
      </c>
      <c r="N49" s="333">
        <f>SUM(N46:N48)</f>
        <v>0</v>
      </c>
      <c r="O49" s="333">
        <f t="shared" si="20"/>
        <v>0</v>
      </c>
      <c r="P49" s="333">
        <f t="shared" ref="P49:U49" si="21">SUM(P46:P48)</f>
        <v>0</v>
      </c>
      <c r="Q49" s="333">
        <f t="shared" si="21"/>
        <v>-11217000</v>
      </c>
      <c r="R49" s="333">
        <f t="shared" si="21"/>
        <v>-11217000</v>
      </c>
      <c r="S49" s="333">
        <f t="shared" si="21"/>
        <v>-11217000</v>
      </c>
      <c r="T49" s="333">
        <f>SUM(T46:T48)</f>
        <v>0</v>
      </c>
      <c r="U49" s="333">
        <f t="shared" si="21"/>
        <v>0</v>
      </c>
      <c r="V49" s="333">
        <f t="shared" ref="V49:W49" si="22">SUM(V46:V48)</f>
        <v>-11217000</v>
      </c>
      <c r="W49" s="246">
        <f t="shared" si="22"/>
        <v>0</v>
      </c>
    </row>
    <row r="50" spans="2:16366" ht="15" customHeight="1">
      <c r="B50" s="334"/>
      <c r="C50" s="403"/>
      <c r="D50" s="335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254"/>
    </row>
    <row r="51" spans="2:16366" ht="15" customHeight="1">
      <c r="B51" s="337" t="s">
        <v>1218</v>
      </c>
      <c r="C51" s="402"/>
      <c r="D51" s="338"/>
      <c r="E51" s="339">
        <f>E39+E44+E49</f>
        <v>-301000</v>
      </c>
      <c r="F51" s="339">
        <f>F39+F44+F49</f>
        <v>4411000</v>
      </c>
      <c r="G51" s="339">
        <f>G39+G44+G49</f>
        <v>-440208000</v>
      </c>
      <c r="H51" s="339">
        <f>H39+H44+H49</f>
        <v>-99433000</v>
      </c>
      <c r="I51" s="339">
        <f t="shared" ref="I51" si="23">I39+I44+I49</f>
        <v>21841000</v>
      </c>
      <c r="J51" s="339">
        <f>J39+J44+J49</f>
        <v>-105146000</v>
      </c>
      <c r="K51" s="339">
        <f t="shared" ref="K51:O51" si="24">K39+K44+K49</f>
        <v>19529000</v>
      </c>
      <c r="L51" s="339">
        <f t="shared" si="24"/>
        <v>-93487000</v>
      </c>
      <c r="M51" s="339">
        <f>M39+M44+M49</f>
        <v>15118000</v>
      </c>
      <c r="N51" s="339">
        <f>N39+N44+N49</f>
        <v>-81671000</v>
      </c>
      <c r="O51" s="339">
        <f t="shared" si="24"/>
        <v>-11658000</v>
      </c>
      <c r="P51" s="339">
        <f t="shared" ref="P51:U51" si="25">P39+P44+P49</f>
        <v>-47820000</v>
      </c>
      <c r="Q51" s="339">
        <f t="shared" si="25"/>
        <v>-64728000</v>
      </c>
      <c r="R51" s="339">
        <f t="shared" si="25"/>
        <v>-9572000</v>
      </c>
      <c r="S51" s="339">
        <f t="shared" si="25"/>
        <v>-16908000</v>
      </c>
      <c r="T51" s="339">
        <f t="shared" si="25"/>
        <v>-11816000</v>
      </c>
      <c r="U51" s="339">
        <f t="shared" si="25"/>
        <v>-7336000</v>
      </c>
      <c r="V51" s="339">
        <f>V39+V44+V49</f>
        <v>-96871000</v>
      </c>
      <c r="W51" s="246">
        <f t="shared" ref="W51" si="26">W39+W44+W49</f>
        <v>-169811000</v>
      </c>
    </row>
    <row r="52" spans="2:16366" ht="15" customHeight="1">
      <c r="B52" s="340" t="s">
        <v>1219</v>
      </c>
      <c r="C52" s="402" t="s">
        <v>1219</v>
      </c>
      <c r="D52" s="341"/>
      <c r="E52" s="342">
        <v>306000</v>
      </c>
      <c r="F52" s="342">
        <v>440514000</v>
      </c>
      <c r="G52" s="342">
        <v>440514000</v>
      </c>
      <c r="H52" s="342">
        <v>539947000</v>
      </c>
      <c r="I52" s="342">
        <v>440514000</v>
      </c>
      <c r="J52" s="342">
        <v>539947000</v>
      </c>
      <c r="K52" s="342">
        <v>440514000</v>
      </c>
      <c r="L52" s="342">
        <v>539947000</v>
      </c>
      <c r="M52" s="342">
        <v>444925000</v>
      </c>
      <c r="N52" s="342">
        <v>528131000</v>
      </c>
      <c r="O52" s="342">
        <v>446460000</v>
      </c>
      <c r="P52" s="342">
        <v>619909000</v>
      </c>
      <c r="Q52" s="342">
        <v>636817000</v>
      </c>
      <c r="R52" s="342">
        <v>629481000</v>
      </c>
      <c r="S52" s="342">
        <v>636817000</v>
      </c>
      <c r="T52" s="342">
        <v>539947000</v>
      </c>
      <c r="U52" s="342">
        <v>636817000</v>
      </c>
      <c r="V52" s="342">
        <v>636817000</v>
      </c>
      <c r="W52" s="246">
        <v>806629000</v>
      </c>
    </row>
    <row r="53" spans="2:16366" ht="15" customHeight="1">
      <c r="B53" s="343" t="s">
        <v>1220</v>
      </c>
      <c r="C53" s="404"/>
      <c r="D53" s="344"/>
      <c r="E53" s="345">
        <f>E51+E52</f>
        <v>5000</v>
      </c>
      <c r="F53" s="345">
        <f>F51+F52</f>
        <v>444925000</v>
      </c>
      <c r="G53" s="345">
        <f>G51+G52</f>
        <v>306000</v>
      </c>
      <c r="H53" s="345">
        <f>H51+H52</f>
        <v>440514000</v>
      </c>
      <c r="I53" s="345">
        <f t="shared" ref="I53" si="27">I51+I52</f>
        <v>462355000</v>
      </c>
      <c r="J53" s="345">
        <f>J51+J52</f>
        <v>434801000</v>
      </c>
      <c r="K53" s="345">
        <f t="shared" ref="K53:O53" si="28">K51+K52</f>
        <v>460043000</v>
      </c>
      <c r="L53" s="345">
        <f t="shared" si="28"/>
        <v>446460000</v>
      </c>
      <c r="M53" s="345">
        <f>M51+M52</f>
        <v>460043000</v>
      </c>
      <c r="N53" s="345">
        <f>N51+N52</f>
        <v>446460000</v>
      </c>
      <c r="O53" s="345">
        <f t="shared" si="28"/>
        <v>434802000</v>
      </c>
      <c r="P53" s="345">
        <f t="shared" ref="P53:U53" si="29">P51+P52</f>
        <v>572089000</v>
      </c>
      <c r="Q53" s="345">
        <f t="shared" si="29"/>
        <v>572089000</v>
      </c>
      <c r="R53" s="345">
        <f t="shared" si="29"/>
        <v>619909000</v>
      </c>
      <c r="S53" s="345">
        <f t="shared" si="29"/>
        <v>619909000</v>
      </c>
      <c r="T53" s="345">
        <f t="shared" si="29"/>
        <v>528131000</v>
      </c>
      <c r="U53" s="345">
        <f t="shared" si="29"/>
        <v>629481000</v>
      </c>
      <c r="V53" s="345">
        <f>V51+V52</f>
        <v>539946000</v>
      </c>
      <c r="W53" s="246">
        <f t="shared" ref="W53" si="30">W51+W52</f>
        <v>636818000</v>
      </c>
    </row>
    <row r="54" spans="2:16366" ht="15" customHeight="1">
      <c r="B54" s="419" t="s">
        <v>1359</v>
      </c>
      <c r="C54" s="405"/>
      <c r="D54" s="222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</row>
    <row r="55" spans="2:16366" ht="12.75" customHeight="1"/>
    <row r="56" spans="2:16366"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  <c r="RG56" s="245"/>
      <c r="RH56" s="245"/>
      <c r="RI56" s="245"/>
      <c r="RJ56" s="245"/>
      <c r="RK56" s="245"/>
      <c r="RL56" s="245"/>
      <c r="RM56" s="245"/>
      <c r="RN56" s="245"/>
      <c r="RO56" s="245"/>
      <c r="RP56" s="245"/>
      <c r="RQ56" s="245"/>
      <c r="RR56" s="245"/>
      <c r="RS56" s="245"/>
      <c r="RT56" s="245"/>
      <c r="RU56" s="245"/>
      <c r="RV56" s="245"/>
      <c r="RW56" s="245"/>
      <c r="RX56" s="245"/>
      <c r="RY56" s="245"/>
      <c r="RZ56" s="245"/>
      <c r="SA56" s="245"/>
      <c r="SB56" s="245"/>
      <c r="SC56" s="245"/>
      <c r="SD56" s="245"/>
      <c r="SE56" s="245"/>
      <c r="SF56" s="245"/>
      <c r="SG56" s="245"/>
      <c r="SH56" s="245"/>
      <c r="SI56" s="245"/>
      <c r="SJ56" s="245"/>
      <c r="SK56" s="245"/>
      <c r="SL56" s="245"/>
      <c r="SM56" s="245"/>
      <c r="SN56" s="245"/>
      <c r="SO56" s="245"/>
      <c r="SP56" s="245"/>
      <c r="SQ56" s="245"/>
      <c r="SR56" s="245"/>
      <c r="SS56" s="245"/>
      <c r="ST56" s="245"/>
      <c r="SU56" s="245"/>
      <c r="SV56" s="245"/>
      <c r="SW56" s="245"/>
      <c r="SX56" s="245"/>
      <c r="SY56" s="245"/>
      <c r="SZ56" s="245"/>
      <c r="TA56" s="245"/>
      <c r="TB56" s="245"/>
      <c r="TC56" s="245"/>
      <c r="TD56" s="245"/>
      <c r="TE56" s="245"/>
      <c r="TF56" s="245"/>
      <c r="TG56" s="245"/>
      <c r="TH56" s="245"/>
      <c r="TI56" s="245"/>
      <c r="TJ56" s="245"/>
      <c r="TK56" s="245"/>
      <c r="TL56" s="245"/>
      <c r="TM56" s="245"/>
      <c r="TN56" s="245"/>
      <c r="TO56" s="245"/>
      <c r="TP56" s="245"/>
      <c r="TQ56" s="245"/>
      <c r="TR56" s="245"/>
      <c r="TS56" s="245"/>
      <c r="TT56" s="245"/>
      <c r="TU56" s="245"/>
      <c r="TV56" s="245"/>
      <c r="TW56" s="245"/>
      <c r="TX56" s="245"/>
      <c r="TY56" s="245"/>
      <c r="TZ56" s="245"/>
      <c r="UA56" s="245"/>
      <c r="UB56" s="245"/>
      <c r="UC56" s="245"/>
      <c r="UD56" s="245"/>
      <c r="UE56" s="245"/>
      <c r="UF56" s="245"/>
      <c r="UG56" s="245"/>
      <c r="UH56" s="245"/>
      <c r="UI56" s="245"/>
      <c r="UJ56" s="245"/>
      <c r="UK56" s="245"/>
      <c r="UL56" s="245"/>
      <c r="UM56" s="245"/>
      <c r="UN56" s="245"/>
      <c r="UO56" s="245"/>
      <c r="UP56" s="245"/>
      <c r="UQ56" s="245"/>
      <c r="UR56" s="245"/>
      <c r="US56" s="245"/>
      <c r="UT56" s="245"/>
      <c r="UU56" s="245"/>
      <c r="UV56" s="245"/>
      <c r="UW56" s="245"/>
      <c r="UX56" s="245"/>
      <c r="UY56" s="245"/>
      <c r="UZ56" s="245"/>
      <c r="VA56" s="245"/>
      <c r="VB56" s="245"/>
      <c r="VC56" s="245"/>
      <c r="VD56" s="245"/>
      <c r="VE56" s="245"/>
      <c r="VF56" s="245"/>
      <c r="VG56" s="245"/>
      <c r="VH56" s="245"/>
      <c r="VI56" s="245"/>
      <c r="VJ56" s="245"/>
      <c r="VK56" s="245"/>
      <c r="VL56" s="245"/>
      <c r="VM56" s="245"/>
      <c r="VN56" s="245"/>
      <c r="VO56" s="245"/>
      <c r="VP56" s="245"/>
      <c r="VQ56" s="245"/>
      <c r="VR56" s="245"/>
      <c r="VS56" s="245"/>
      <c r="VT56" s="245"/>
      <c r="VU56" s="245"/>
      <c r="VV56" s="245"/>
      <c r="VW56" s="245"/>
      <c r="VX56" s="245"/>
      <c r="VY56" s="245"/>
      <c r="VZ56" s="245"/>
      <c r="WA56" s="245"/>
      <c r="WB56" s="245"/>
      <c r="WC56" s="245"/>
      <c r="WD56" s="245"/>
      <c r="WE56" s="245"/>
      <c r="WF56" s="245"/>
      <c r="WG56" s="245"/>
      <c r="WH56" s="245"/>
      <c r="WI56" s="245"/>
      <c r="WJ56" s="245"/>
      <c r="WK56" s="245"/>
      <c r="WL56" s="245"/>
      <c r="WM56" s="245"/>
      <c r="WN56" s="245"/>
      <c r="WO56" s="245"/>
      <c r="WP56" s="245"/>
      <c r="WQ56" s="245"/>
      <c r="WR56" s="245"/>
      <c r="WS56" s="245"/>
      <c r="WT56" s="245"/>
      <c r="WU56" s="245"/>
      <c r="WV56" s="245"/>
      <c r="WW56" s="245"/>
      <c r="WX56" s="245"/>
      <c r="WY56" s="245"/>
      <c r="WZ56" s="245"/>
      <c r="XA56" s="245"/>
      <c r="XB56" s="245"/>
      <c r="XC56" s="245"/>
      <c r="XD56" s="245"/>
      <c r="XE56" s="245"/>
      <c r="XF56" s="245"/>
      <c r="XG56" s="245"/>
      <c r="XH56" s="245"/>
      <c r="XI56" s="245"/>
      <c r="XJ56" s="245"/>
      <c r="XK56" s="245"/>
      <c r="XL56" s="245"/>
      <c r="XM56" s="245"/>
      <c r="XN56" s="245"/>
      <c r="XO56" s="245"/>
      <c r="XP56" s="245"/>
      <c r="XQ56" s="245"/>
      <c r="XR56" s="245"/>
      <c r="XS56" s="245"/>
      <c r="XT56" s="245"/>
      <c r="XU56" s="245"/>
      <c r="XV56" s="245"/>
      <c r="XW56" s="245"/>
      <c r="XX56" s="245"/>
      <c r="XY56" s="245"/>
      <c r="XZ56" s="245"/>
      <c r="YA56" s="245"/>
      <c r="YB56" s="245"/>
      <c r="YC56" s="245"/>
      <c r="YD56" s="245"/>
      <c r="YE56" s="245"/>
      <c r="YF56" s="245"/>
      <c r="YG56" s="245"/>
      <c r="YH56" s="245"/>
      <c r="YI56" s="245"/>
      <c r="YJ56" s="245"/>
      <c r="YK56" s="245"/>
      <c r="YL56" s="245"/>
      <c r="YM56" s="245"/>
      <c r="YN56" s="245"/>
      <c r="YO56" s="245"/>
      <c r="YP56" s="245"/>
      <c r="YQ56" s="245"/>
      <c r="YR56" s="245"/>
      <c r="YS56" s="245"/>
      <c r="YT56" s="245"/>
      <c r="YU56" s="245"/>
      <c r="YV56" s="245"/>
      <c r="YW56" s="245"/>
      <c r="YX56" s="245"/>
      <c r="YY56" s="245"/>
      <c r="YZ56" s="245"/>
      <c r="ZA56" s="245"/>
      <c r="ZB56" s="245"/>
      <c r="ZC56" s="245"/>
      <c r="ZD56" s="245"/>
      <c r="ZE56" s="245"/>
      <c r="ZF56" s="245"/>
      <c r="ZG56" s="245"/>
      <c r="ZH56" s="245"/>
      <c r="ZI56" s="245"/>
      <c r="ZJ56" s="245"/>
      <c r="ZK56" s="245"/>
      <c r="ZL56" s="245"/>
      <c r="ZM56" s="245"/>
      <c r="ZN56" s="245"/>
      <c r="ZO56" s="245"/>
      <c r="ZP56" s="245"/>
      <c r="ZQ56" s="245"/>
      <c r="ZR56" s="245"/>
      <c r="ZS56" s="245"/>
      <c r="ZT56" s="245"/>
      <c r="ZU56" s="245"/>
      <c r="ZV56" s="245"/>
      <c r="ZW56" s="245"/>
      <c r="ZX56" s="245"/>
      <c r="ZY56" s="245"/>
      <c r="ZZ56" s="245"/>
      <c r="AAA56" s="245"/>
      <c r="AAB56" s="245"/>
      <c r="AAC56" s="245"/>
      <c r="AAD56" s="245"/>
      <c r="AAE56" s="245"/>
      <c r="AAF56" s="245"/>
      <c r="AAG56" s="245"/>
      <c r="AAH56" s="245"/>
      <c r="AAI56" s="245"/>
      <c r="AAJ56" s="245"/>
      <c r="AAK56" s="245"/>
      <c r="AAL56" s="245"/>
      <c r="AAM56" s="245"/>
      <c r="AAN56" s="245"/>
      <c r="AAO56" s="245"/>
      <c r="AAP56" s="245"/>
      <c r="AAQ56" s="245"/>
      <c r="AAR56" s="245"/>
      <c r="AAS56" s="245"/>
      <c r="AAT56" s="245"/>
      <c r="AAU56" s="245"/>
      <c r="AAV56" s="245"/>
      <c r="AAW56" s="245"/>
      <c r="AAX56" s="245"/>
      <c r="AAY56" s="245"/>
      <c r="AAZ56" s="245"/>
      <c r="ABA56" s="245"/>
      <c r="ABB56" s="245"/>
      <c r="ABC56" s="245"/>
      <c r="ABD56" s="245"/>
      <c r="ABE56" s="245"/>
      <c r="ABF56" s="245"/>
      <c r="ABG56" s="245"/>
      <c r="ABH56" s="245"/>
      <c r="ABI56" s="245"/>
      <c r="ABJ56" s="245"/>
      <c r="ABK56" s="245"/>
      <c r="ABL56" s="245"/>
      <c r="ABM56" s="245"/>
      <c r="ABN56" s="245"/>
      <c r="ABO56" s="245"/>
      <c r="ABP56" s="245"/>
      <c r="ABQ56" s="245"/>
      <c r="ABR56" s="245"/>
      <c r="ABS56" s="245"/>
      <c r="ABT56" s="245"/>
      <c r="ABU56" s="245"/>
      <c r="ABV56" s="245"/>
      <c r="ABW56" s="245"/>
      <c r="ABX56" s="245"/>
      <c r="ABY56" s="245"/>
      <c r="ABZ56" s="245"/>
      <c r="ACA56" s="245"/>
      <c r="ACB56" s="245"/>
      <c r="ACC56" s="245"/>
      <c r="ACD56" s="245"/>
      <c r="ACE56" s="245"/>
      <c r="ACF56" s="245"/>
      <c r="ACG56" s="245"/>
      <c r="ACH56" s="245"/>
      <c r="ACI56" s="245"/>
      <c r="ACJ56" s="245"/>
      <c r="ACK56" s="245"/>
      <c r="ACL56" s="245"/>
      <c r="ACM56" s="245"/>
      <c r="ACN56" s="245"/>
      <c r="ACO56" s="245"/>
      <c r="ACP56" s="245"/>
      <c r="ACQ56" s="245"/>
      <c r="ACR56" s="245"/>
      <c r="ACS56" s="245"/>
      <c r="ACT56" s="245"/>
      <c r="ACU56" s="245"/>
      <c r="ACV56" s="245"/>
      <c r="ACW56" s="245"/>
      <c r="ACX56" s="245"/>
      <c r="ACY56" s="245"/>
      <c r="ACZ56" s="245"/>
      <c r="ADA56" s="245"/>
      <c r="ADB56" s="245"/>
      <c r="ADC56" s="245"/>
      <c r="ADD56" s="245"/>
      <c r="ADE56" s="245"/>
      <c r="ADF56" s="245"/>
      <c r="ADG56" s="245"/>
      <c r="ADH56" s="245"/>
      <c r="ADI56" s="245"/>
      <c r="ADJ56" s="245"/>
      <c r="ADK56" s="245"/>
      <c r="ADL56" s="245"/>
      <c r="ADM56" s="245"/>
      <c r="ADN56" s="245"/>
      <c r="ADO56" s="245"/>
      <c r="ADP56" s="245"/>
      <c r="ADQ56" s="245"/>
      <c r="ADR56" s="245"/>
      <c r="ADS56" s="245"/>
      <c r="ADT56" s="245"/>
      <c r="ADU56" s="245"/>
      <c r="ADV56" s="245"/>
      <c r="ADW56" s="245"/>
      <c r="ADX56" s="245"/>
      <c r="ADY56" s="245"/>
      <c r="ADZ56" s="245"/>
      <c r="AEA56" s="245"/>
      <c r="AEB56" s="245"/>
      <c r="AEC56" s="245"/>
      <c r="AED56" s="245"/>
      <c r="AEE56" s="245"/>
      <c r="AEF56" s="245"/>
      <c r="AEG56" s="245"/>
      <c r="AEH56" s="245"/>
      <c r="AEI56" s="245"/>
      <c r="AEJ56" s="245"/>
      <c r="AEK56" s="245"/>
      <c r="AEL56" s="245"/>
      <c r="AEM56" s="245"/>
      <c r="AEN56" s="245"/>
      <c r="AEO56" s="245"/>
      <c r="AEP56" s="245"/>
      <c r="AEQ56" s="245"/>
      <c r="AER56" s="245"/>
      <c r="AES56" s="245"/>
      <c r="AET56" s="245"/>
      <c r="AEU56" s="245"/>
      <c r="AEV56" s="245"/>
      <c r="AEW56" s="245"/>
      <c r="AEX56" s="245"/>
      <c r="AEY56" s="245"/>
      <c r="AEZ56" s="245"/>
      <c r="AFA56" s="245"/>
      <c r="AFB56" s="245"/>
      <c r="AFC56" s="245"/>
      <c r="AFD56" s="245"/>
      <c r="AFE56" s="245"/>
      <c r="AFF56" s="245"/>
      <c r="AFG56" s="245"/>
      <c r="AFH56" s="245"/>
      <c r="AFI56" s="245"/>
      <c r="AFJ56" s="245"/>
      <c r="AFK56" s="245"/>
      <c r="AFL56" s="245"/>
      <c r="AFM56" s="245"/>
      <c r="AFN56" s="245"/>
      <c r="AFO56" s="245"/>
      <c r="AFP56" s="245"/>
      <c r="AFQ56" s="245"/>
      <c r="AFR56" s="245"/>
      <c r="AFS56" s="245"/>
      <c r="AFT56" s="245"/>
      <c r="AFU56" s="245"/>
      <c r="AFV56" s="245"/>
      <c r="AFW56" s="245"/>
      <c r="AFX56" s="245"/>
      <c r="AFY56" s="245"/>
      <c r="AFZ56" s="245"/>
      <c r="AGA56" s="245"/>
      <c r="AGB56" s="245"/>
      <c r="AGC56" s="245"/>
      <c r="AGD56" s="245"/>
      <c r="AGE56" s="245"/>
      <c r="AGF56" s="245"/>
      <c r="AGG56" s="245"/>
      <c r="AGH56" s="245"/>
      <c r="AGI56" s="245"/>
      <c r="AGJ56" s="245"/>
      <c r="AGK56" s="245"/>
      <c r="AGL56" s="245"/>
      <c r="AGM56" s="245"/>
      <c r="AGN56" s="245"/>
      <c r="AGO56" s="245"/>
      <c r="AGP56" s="245"/>
      <c r="AGQ56" s="245"/>
      <c r="AGR56" s="245"/>
      <c r="AGS56" s="245"/>
      <c r="AGT56" s="245"/>
      <c r="AGU56" s="245"/>
      <c r="AGV56" s="245"/>
      <c r="AGW56" s="245"/>
      <c r="AGX56" s="245"/>
      <c r="AGY56" s="245"/>
      <c r="AGZ56" s="245"/>
      <c r="AHA56" s="245"/>
      <c r="AHB56" s="245"/>
      <c r="AHC56" s="245"/>
      <c r="AHD56" s="245"/>
      <c r="AHE56" s="245"/>
      <c r="AHF56" s="245"/>
      <c r="AHG56" s="245"/>
      <c r="AHH56" s="245"/>
      <c r="AHI56" s="245"/>
      <c r="AHJ56" s="245"/>
      <c r="AHK56" s="245"/>
      <c r="AHL56" s="245"/>
      <c r="AHM56" s="245"/>
      <c r="AHN56" s="245"/>
      <c r="AHO56" s="245"/>
      <c r="AHP56" s="245"/>
      <c r="AHQ56" s="245"/>
      <c r="AHR56" s="245"/>
      <c r="AHS56" s="245"/>
      <c r="AHT56" s="245"/>
      <c r="AHU56" s="245"/>
      <c r="AHV56" s="245"/>
      <c r="AHW56" s="245"/>
      <c r="AHX56" s="245"/>
      <c r="AHY56" s="245"/>
      <c r="AHZ56" s="245"/>
      <c r="AIA56" s="245"/>
      <c r="AIB56" s="245"/>
      <c r="AIC56" s="245"/>
      <c r="AID56" s="245"/>
      <c r="AIE56" s="245"/>
      <c r="AIF56" s="245"/>
      <c r="AIG56" s="245"/>
      <c r="AIH56" s="245"/>
      <c r="AII56" s="245"/>
      <c r="AIJ56" s="245"/>
      <c r="AIK56" s="245"/>
      <c r="AIL56" s="245"/>
      <c r="AIM56" s="245"/>
      <c r="AIN56" s="245"/>
      <c r="AIO56" s="245"/>
      <c r="AIP56" s="245"/>
      <c r="AIQ56" s="245"/>
      <c r="AIR56" s="245"/>
      <c r="AIS56" s="245"/>
      <c r="AIT56" s="245"/>
      <c r="AIU56" s="245"/>
      <c r="AIV56" s="245"/>
      <c r="AIW56" s="245"/>
      <c r="AIX56" s="245"/>
      <c r="AIY56" s="245"/>
      <c r="AIZ56" s="245"/>
      <c r="AJA56" s="245"/>
      <c r="AJB56" s="245"/>
      <c r="AJC56" s="245"/>
      <c r="AJD56" s="245"/>
      <c r="AJE56" s="245"/>
      <c r="AJF56" s="245"/>
      <c r="AJG56" s="245"/>
      <c r="AJH56" s="245"/>
      <c r="AJI56" s="245"/>
      <c r="AJJ56" s="245"/>
      <c r="AJK56" s="245"/>
      <c r="AJL56" s="245"/>
      <c r="AJM56" s="245"/>
      <c r="AJN56" s="245"/>
      <c r="AJO56" s="245"/>
      <c r="AJP56" s="245"/>
      <c r="AJQ56" s="245"/>
      <c r="AJR56" s="245"/>
      <c r="AJS56" s="245"/>
      <c r="AJT56" s="245"/>
      <c r="AJU56" s="245"/>
      <c r="AJV56" s="245"/>
      <c r="AJW56" s="245"/>
      <c r="AJX56" s="245"/>
      <c r="AJY56" s="245"/>
      <c r="AJZ56" s="245"/>
      <c r="AKA56" s="245"/>
      <c r="AKB56" s="245"/>
      <c r="AKC56" s="245"/>
      <c r="AKD56" s="245"/>
      <c r="AKE56" s="245"/>
      <c r="AKF56" s="245"/>
      <c r="AKG56" s="245"/>
      <c r="AKH56" s="245"/>
      <c r="AKI56" s="245"/>
      <c r="AKJ56" s="245"/>
      <c r="AKK56" s="245"/>
      <c r="AKL56" s="245"/>
      <c r="AKM56" s="245"/>
      <c r="AKN56" s="245"/>
      <c r="AKO56" s="245"/>
      <c r="AKP56" s="245"/>
      <c r="AKQ56" s="245"/>
      <c r="AKR56" s="245"/>
      <c r="AKS56" s="245"/>
      <c r="AKT56" s="245"/>
      <c r="AKU56" s="245"/>
      <c r="AKV56" s="245"/>
      <c r="AKW56" s="245"/>
      <c r="AKX56" s="245"/>
      <c r="AKY56" s="245"/>
      <c r="AKZ56" s="245"/>
      <c r="ALA56" s="245"/>
      <c r="ALB56" s="245"/>
      <c r="ALC56" s="245"/>
      <c r="ALD56" s="245"/>
      <c r="ALE56" s="245"/>
      <c r="ALF56" s="245"/>
      <c r="ALG56" s="245"/>
      <c r="ALH56" s="245"/>
      <c r="ALI56" s="245"/>
      <c r="ALJ56" s="245"/>
      <c r="ALK56" s="245"/>
      <c r="ALL56" s="245"/>
      <c r="ALM56" s="245"/>
      <c r="ALN56" s="245"/>
      <c r="ALO56" s="245"/>
      <c r="ALP56" s="245"/>
      <c r="ALQ56" s="245"/>
      <c r="ALR56" s="245"/>
      <c r="ALS56" s="245"/>
      <c r="ALT56" s="245"/>
      <c r="ALU56" s="245"/>
      <c r="ALV56" s="245"/>
      <c r="ALW56" s="245"/>
      <c r="ALX56" s="245"/>
      <c r="ALY56" s="245"/>
      <c r="ALZ56" s="245"/>
      <c r="AMA56" s="245"/>
      <c r="AMB56" s="245"/>
      <c r="AMC56" s="245"/>
      <c r="AMD56" s="245"/>
      <c r="AME56" s="245"/>
      <c r="AMF56" s="245"/>
      <c r="AMG56" s="245"/>
      <c r="AMH56" s="245"/>
      <c r="AMI56" s="245"/>
      <c r="AMJ56" s="245"/>
      <c r="AMK56" s="245"/>
      <c r="AML56" s="245"/>
      <c r="AMM56" s="245"/>
      <c r="AMN56" s="245"/>
      <c r="AMO56" s="245"/>
      <c r="AMP56" s="245"/>
      <c r="AMQ56" s="245"/>
      <c r="AMR56" s="245"/>
      <c r="AMS56" s="245"/>
      <c r="AMT56" s="245"/>
      <c r="AMU56" s="245"/>
      <c r="AMV56" s="245"/>
      <c r="AMW56" s="245"/>
      <c r="AMX56" s="245"/>
      <c r="AMY56" s="245"/>
      <c r="AMZ56" s="245"/>
      <c r="ANA56" s="245"/>
      <c r="ANB56" s="245"/>
      <c r="ANC56" s="245"/>
      <c r="AND56" s="245"/>
      <c r="ANE56" s="245"/>
      <c r="ANF56" s="245"/>
      <c r="ANG56" s="245"/>
      <c r="ANH56" s="245"/>
      <c r="ANI56" s="245"/>
      <c r="ANJ56" s="245"/>
      <c r="ANK56" s="245"/>
      <c r="ANL56" s="245"/>
      <c r="ANM56" s="245"/>
      <c r="ANN56" s="245"/>
      <c r="ANO56" s="245"/>
      <c r="ANP56" s="245"/>
      <c r="ANQ56" s="245"/>
      <c r="ANR56" s="245"/>
      <c r="ANS56" s="245"/>
      <c r="ANT56" s="245"/>
      <c r="ANU56" s="245"/>
      <c r="ANV56" s="245"/>
      <c r="ANW56" s="245"/>
      <c r="ANX56" s="245"/>
      <c r="ANY56" s="245"/>
      <c r="ANZ56" s="245"/>
      <c r="AOA56" s="245"/>
      <c r="AOB56" s="245"/>
      <c r="AOC56" s="245"/>
      <c r="AOD56" s="245"/>
      <c r="AOE56" s="245"/>
      <c r="AOF56" s="245"/>
      <c r="AOG56" s="245"/>
      <c r="AOH56" s="245"/>
      <c r="AOI56" s="245"/>
      <c r="AOJ56" s="245"/>
      <c r="AOK56" s="245"/>
      <c r="AOL56" s="245"/>
      <c r="AOM56" s="245"/>
      <c r="AON56" s="245"/>
      <c r="AOO56" s="245"/>
      <c r="AOP56" s="245"/>
      <c r="AOQ56" s="245"/>
      <c r="AOR56" s="245"/>
      <c r="AOS56" s="245"/>
      <c r="AOT56" s="245"/>
      <c r="AOU56" s="245"/>
      <c r="AOV56" s="245"/>
      <c r="AOW56" s="245"/>
      <c r="AOX56" s="245"/>
      <c r="AOY56" s="245"/>
      <c r="AOZ56" s="245"/>
      <c r="APA56" s="245"/>
      <c r="APB56" s="245"/>
      <c r="APC56" s="245"/>
      <c r="APD56" s="245"/>
      <c r="APE56" s="245"/>
      <c r="APF56" s="245"/>
      <c r="APG56" s="245"/>
      <c r="APH56" s="245"/>
      <c r="API56" s="245"/>
      <c r="APJ56" s="245"/>
      <c r="APK56" s="245"/>
      <c r="APL56" s="245"/>
      <c r="APM56" s="245"/>
      <c r="APN56" s="245"/>
      <c r="APO56" s="245"/>
      <c r="APP56" s="245"/>
      <c r="APQ56" s="245"/>
      <c r="APR56" s="245"/>
      <c r="APS56" s="245"/>
      <c r="APT56" s="245"/>
      <c r="APU56" s="245"/>
      <c r="APV56" s="245"/>
      <c r="APW56" s="245"/>
      <c r="APX56" s="245"/>
      <c r="APY56" s="245"/>
      <c r="APZ56" s="245"/>
      <c r="AQA56" s="245"/>
      <c r="AQB56" s="245"/>
      <c r="AQC56" s="245"/>
      <c r="AQD56" s="245"/>
      <c r="AQE56" s="245"/>
      <c r="AQF56" s="245"/>
      <c r="AQG56" s="245"/>
      <c r="AQH56" s="245"/>
      <c r="AQI56" s="245"/>
      <c r="AQJ56" s="245"/>
      <c r="AQK56" s="245"/>
      <c r="AQL56" s="245"/>
      <c r="AQM56" s="245"/>
      <c r="AQN56" s="245"/>
      <c r="AQO56" s="245"/>
      <c r="AQP56" s="245"/>
      <c r="AQQ56" s="245"/>
      <c r="AQR56" s="245"/>
      <c r="AQS56" s="245"/>
      <c r="AQT56" s="245"/>
      <c r="AQU56" s="245"/>
      <c r="AQV56" s="245"/>
      <c r="AQW56" s="245"/>
      <c r="AQX56" s="245"/>
      <c r="AQY56" s="245"/>
      <c r="AQZ56" s="245"/>
      <c r="ARA56" s="245"/>
      <c r="ARB56" s="245"/>
      <c r="ARC56" s="245"/>
      <c r="ARD56" s="245"/>
      <c r="ARE56" s="245"/>
      <c r="ARF56" s="245"/>
      <c r="ARG56" s="245"/>
      <c r="ARH56" s="245"/>
      <c r="ARI56" s="245"/>
      <c r="ARJ56" s="245"/>
      <c r="ARK56" s="245"/>
      <c r="ARL56" s="245"/>
      <c r="ARM56" s="245"/>
      <c r="ARN56" s="245"/>
      <c r="ARO56" s="245"/>
      <c r="ARP56" s="245"/>
      <c r="ARQ56" s="245"/>
      <c r="ARR56" s="245"/>
      <c r="ARS56" s="245"/>
      <c r="ART56" s="245"/>
      <c r="ARU56" s="245"/>
      <c r="ARV56" s="245"/>
      <c r="ARW56" s="245"/>
      <c r="ARX56" s="245"/>
      <c r="ARY56" s="245"/>
      <c r="ARZ56" s="245"/>
      <c r="ASA56" s="245"/>
      <c r="ASB56" s="245"/>
      <c r="ASC56" s="245"/>
      <c r="ASD56" s="245"/>
      <c r="ASE56" s="245"/>
      <c r="ASF56" s="245"/>
      <c r="ASG56" s="245"/>
      <c r="ASH56" s="245"/>
      <c r="ASI56" s="245"/>
      <c r="ASJ56" s="245"/>
      <c r="ASK56" s="245"/>
      <c r="ASL56" s="245"/>
      <c r="ASM56" s="245"/>
      <c r="ASN56" s="245"/>
      <c r="ASO56" s="245"/>
      <c r="ASP56" s="245"/>
      <c r="ASQ56" s="245"/>
      <c r="ASR56" s="245"/>
      <c r="ASS56" s="245"/>
      <c r="AST56" s="245"/>
      <c r="ASU56" s="245"/>
      <c r="ASV56" s="245"/>
      <c r="ASW56" s="245"/>
      <c r="ASX56" s="245"/>
      <c r="ASY56" s="245"/>
      <c r="ASZ56" s="245"/>
      <c r="ATA56" s="245"/>
      <c r="ATB56" s="245"/>
      <c r="ATC56" s="245"/>
      <c r="ATD56" s="245"/>
      <c r="ATE56" s="245"/>
      <c r="ATF56" s="245"/>
      <c r="ATG56" s="245"/>
      <c r="ATH56" s="245"/>
      <c r="ATI56" s="245"/>
      <c r="ATJ56" s="245"/>
      <c r="ATK56" s="245"/>
      <c r="ATL56" s="245"/>
      <c r="ATM56" s="245"/>
      <c r="ATN56" s="245"/>
      <c r="ATO56" s="245"/>
      <c r="ATP56" s="245"/>
      <c r="ATQ56" s="245"/>
      <c r="ATR56" s="245"/>
      <c r="ATS56" s="245"/>
      <c r="ATT56" s="245"/>
      <c r="ATU56" s="245"/>
      <c r="ATV56" s="245"/>
      <c r="ATW56" s="245"/>
      <c r="ATX56" s="245"/>
      <c r="ATY56" s="245"/>
      <c r="ATZ56" s="245"/>
      <c r="AUA56" s="245"/>
      <c r="AUB56" s="245"/>
      <c r="AUC56" s="245"/>
      <c r="AUD56" s="245"/>
      <c r="AUE56" s="245"/>
      <c r="AUF56" s="245"/>
      <c r="AUG56" s="245"/>
      <c r="AUH56" s="245"/>
      <c r="AUI56" s="245"/>
      <c r="AUJ56" s="245"/>
      <c r="AUK56" s="245"/>
      <c r="AUL56" s="245"/>
      <c r="AUM56" s="245"/>
      <c r="AUN56" s="245"/>
      <c r="AUO56" s="245"/>
      <c r="AUP56" s="245"/>
      <c r="AUQ56" s="245"/>
      <c r="AUR56" s="245"/>
      <c r="AUS56" s="245"/>
      <c r="AUT56" s="245"/>
      <c r="AUU56" s="245"/>
      <c r="AUV56" s="245"/>
      <c r="AUW56" s="245"/>
      <c r="AUX56" s="245"/>
      <c r="AUY56" s="245"/>
      <c r="AUZ56" s="245"/>
      <c r="AVA56" s="245"/>
      <c r="AVB56" s="245"/>
      <c r="AVC56" s="245"/>
      <c r="AVD56" s="245"/>
      <c r="AVE56" s="245"/>
      <c r="AVF56" s="245"/>
      <c r="AVG56" s="245"/>
      <c r="AVH56" s="245"/>
      <c r="AVI56" s="245"/>
      <c r="AVJ56" s="245"/>
      <c r="AVK56" s="245"/>
      <c r="AVL56" s="245"/>
      <c r="AVM56" s="245"/>
      <c r="AVN56" s="245"/>
      <c r="AVO56" s="245"/>
      <c r="AVP56" s="245"/>
      <c r="AVQ56" s="245"/>
      <c r="AVR56" s="245"/>
      <c r="AVS56" s="245"/>
      <c r="AVT56" s="245"/>
      <c r="AVU56" s="245"/>
      <c r="AVV56" s="245"/>
      <c r="AVW56" s="245"/>
      <c r="AVX56" s="245"/>
      <c r="AVY56" s="245"/>
      <c r="AVZ56" s="245"/>
      <c r="AWA56" s="245"/>
      <c r="AWB56" s="245"/>
      <c r="AWC56" s="245"/>
      <c r="AWD56" s="245"/>
      <c r="AWE56" s="245"/>
      <c r="AWF56" s="245"/>
      <c r="AWG56" s="245"/>
      <c r="AWH56" s="245"/>
      <c r="AWI56" s="245"/>
      <c r="AWJ56" s="245"/>
      <c r="AWK56" s="245"/>
      <c r="AWL56" s="245"/>
      <c r="AWM56" s="245"/>
      <c r="AWN56" s="245"/>
      <c r="AWO56" s="245"/>
      <c r="AWP56" s="245"/>
      <c r="AWQ56" s="245"/>
      <c r="AWR56" s="245"/>
      <c r="AWS56" s="245"/>
      <c r="AWT56" s="245"/>
      <c r="AWU56" s="245"/>
      <c r="AWV56" s="245"/>
      <c r="AWW56" s="245"/>
      <c r="AWX56" s="245"/>
      <c r="AWY56" s="245"/>
      <c r="AWZ56" s="245"/>
      <c r="AXA56" s="245"/>
      <c r="AXB56" s="245"/>
      <c r="AXC56" s="245"/>
      <c r="AXD56" s="245"/>
      <c r="AXE56" s="245"/>
      <c r="AXF56" s="245"/>
      <c r="AXG56" s="245"/>
      <c r="AXH56" s="245"/>
      <c r="AXI56" s="245"/>
      <c r="AXJ56" s="245"/>
      <c r="AXK56" s="245"/>
      <c r="AXL56" s="245"/>
      <c r="AXM56" s="245"/>
      <c r="AXN56" s="245"/>
      <c r="AXO56" s="245"/>
      <c r="AXP56" s="245"/>
      <c r="AXQ56" s="245"/>
      <c r="AXR56" s="245"/>
      <c r="AXS56" s="245"/>
      <c r="AXT56" s="245"/>
      <c r="AXU56" s="245"/>
      <c r="AXV56" s="245"/>
      <c r="AXW56" s="245"/>
      <c r="AXX56" s="245"/>
      <c r="AXY56" s="245"/>
      <c r="AXZ56" s="245"/>
      <c r="AYA56" s="245"/>
      <c r="AYB56" s="245"/>
      <c r="AYC56" s="245"/>
      <c r="AYD56" s="245"/>
      <c r="AYE56" s="245"/>
      <c r="AYF56" s="245"/>
      <c r="AYG56" s="245"/>
      <c r="AYH56" s="245"/>
      <c r="AYI56" s="245"/>
      <c r="AYJ56" s="245"/>
      <c r="AYK56" s="245"/>
      <c r="AYL56" s="245"/>
      <c r="AYM56" s="245"/>
      <c r="AYN56" s="245"/>
      <c r="AYO56" s="245"/>
      <c r="AYP56" s="245"/>
      <c r="AYQ56" s="245"/>
      <c r="AYR56" s="245"/>
      <c r="AYS56" s="245"/>
      <c r="AYT56" s="245"/>
      <c r="AYU56" s="245"/>
      <c r="AYV56" s="245"/>
      <c r="AYW56" s="245"/>
      <c r="AYX56" s="245"/>
      <c r="AYY56" s="245"/>
      <c r="AYZ56" s="245"/>
      <c r="AZA56" s="245"/>
      <c r="AZB56" s="245"/>
      <c r="AZC56" s="245"/>
      <c r="AZD56" s="245"/>
      <c r="AZE56" s="245"/>
      <c r="AZF56" s="245"/>
      <c r="AZG56" s="245"/>
      <c r="AZH56" s="245"/>
      <c r="AZI56" s="245"/>
      <c r="AZJ56" s="245"/>
      <c r="AZK56" s="245"/>
      <c r="AZL56" s="245"/>
      <c r="AZM56" s="245"/>
      <c r="AZN56" s="245"/>
      <c r="AZO56" s="245"/>
      <c r="AZP56" s="245"/>
      <c r="AZQ56" s="245"/>
      <c r="AZR56" s="245"/>
      <c r="AZS56" s="245"/>
      <c r="AZT56" s="245"/>
      <c r="AZU56" s="245"/>
      <c r="AZV56" s="245"/>
      <c r="AZW56" s="245"/>
      <c r="AZX56" s="245"/>
      <c r="AZY56" s="245"/>
      <c r="AZZ56" s="245"/>
      <c r="BAA56" s="245"/>
      <c r="BAB56" s="245"/>
      <c r="BAC56" s="245"/>
      <c r="BAD56" s="245"/>
      <c r="BAE56" s="245"/>
      <c r="BAF56" s="245"/>
      <c r="BAG56" s="245"/>
      <c r="BAH56" s="245"/>
      <c r="BAI56" s="245"/>
      <c r="BAJ56" s="245"/>
      <c r="BAK56" s="245"/>
      <c r="BAL56" s="245"/>
      <c r="BAM56" s="245"/>
      <c r="BAN56" s="245"/>
      <c r="BAO56" s="245"/>
      <c r="BAP56" s="245"/>
      <c r="BAQ56" s="245"/>
      <c r="BAR56" s="245"/>
      <c r="BAS56" s="245"/>
      <c r="BAT56" s="245"/>
      <c r="BAU56" s="245"/>
      <c r="BAV56" s="245"/>
      <c r="BAW56" s="245"/>
      <c r="BAX56" s="245"/>
      <c r="BAY56" s="245"/>
      <c r="BAZ56" s="245"/>
      <c r="BBA56" s="245"/>
      <c r="BBB56" s="245"/>
      <c r="BBC56" s="245"/>
      <c r="BBD56" s="245"/>
      <c r="BBE56" s="245"/>
      <c r="BBF56" s="245"/>
      <c r="BBG56" s="245"/>
      <c r="BBH56" s="245"/>
      <c r="BBI56" s="245"/>
      <c r="BBJ56" s="245"/>
      <c r="BBK56" s="245"/>
      <c r="BBL56" s="245"/>
      <c r="BBM56" s="245"/>
      <c r="BBN56" s="245"/>
      <c r="BBO56" s="245"/>
      <c r="BBP56" s="245"/>
      <c r="BBQ56" s="245"/>
      <c r="BBR56" s="245"/>
      <c r="BBS56" s="245"/>
      <c r="BBT56" s="245"/>
      <c r="BBU56" s="245"/>
      <c r="BBV56" s="245"/>
      <c r="BBW56" s="245"/>
      <c r="BBX56" s="245"/>
      <c r="BBY56" s="245"/>
      <c r="BBZ56" s="245"/>
      <c r="BCA56" s="245"/>
      <c r="BCB56" s="245"/>
      <c r="BCC56" s="245"/>
      <c r="BCD56" s="245"/>
      <c r="BCE56" s="245"/>
      <c r="BCF56" s="245"/>
      <c r="BCG56" s="245"/>
      <c r="BCH56" s="245"/>
      <c r="BCI56" s="245"/>
      <c r="BCJ56" s="245"/>
      <c r="BCK56" s="245"/>
      <c r="BCL56" s="245"/>
      <c r="BCM56" s="245"/>
      <c r="BCN56" s="245"/>
      <c r="BCO56" s="245"/>
      <c r="BCP56" s="245"/>
      <c r="BCQ56" s="245"/>
      <c r="BCR56" s="245"/>
      <c r="BCS56" s="245"/>
      <c r="BCT56" s="245"/>
      <c r="BCU56" s="245"/>
      <c r="BCV56" s="245"/>
      <c r="BCW56" s="245"/>
      <c r="BCX56" s="245"/>
      <c r="BCY56" s="245"/>
      <c r="BCZ56" s="245"/>
      <c r="BDA56" s="245"/>
      <c r="BDB56" s="245"/>
      <c r="BDC56" s="245"/>
      <c r="BDD56" s="245"/>
      <c r="BDE56" s="245"/>
      <c r="BDF56" s="245"/>
      <c r="BDG56" s="245"/>
      <c r="BDH56" s="245"/>
      <c r="BDI56" s="245"/>
      <c r="BDJ56" s="245"/>
      <c r="BDK56" s="245"/>
      <c r="BDL56" s="245"/>
      <c r="BDM56" s="245"/>
      <c r="BDN56" s="245"/>
      <c r="BDO56" s="245"/>
      <c r="BDP56" s="245"/>
      <c r="BDQ56" s="245"/>
      <c r="BDR56" s="245"/>
      <c r="BDS56" s="245"/>
      <c r="BDT56" s="245"/>
      <c r="BDU56" s="245"/>
      <c r="BDV56" s="245"/>
      <c r="BDW56" s="245"/>
      <c r="BDX56" s="245"/>
      <c r="BDY56" s="245"/>
      <c r="BDZ56" s="245"/>
      <c r="BEA56" s="245"/>
      <c r="BEB56" s="245"/>
      <c r="BEC56" s="245"/>
      <c r="BED56" s="245"/>
      <c r="BEE56" s="245"/>
      <c r="BEF56" s="245"/>
      <c r="BEG56" s="245"/>
      <c r="BEH56" s="245"/>
      <c r="BEI56" s="245"/>
      <c r="BEJ56" s="245"/>
      <c r="BEK56" s="245"/>
      <c r="BEL56" s="245"/>
      <c r="BEM56" s="245"/>
      <c r="BEN56" s="245"/>
      <c r="BEO56" s="245"/>
      <c r="BEP56" s="245"/>
      <c r="BEQ56" s="245"/>
      <c r="BER56" s="245"/>
      <c r="BES56" s="245"/>
      <c r="BET56" s="245"/>
      <c r="BEU56" s="245"/>
      <c r="BEV56" s="245"/>
      <c r="BEW56" s="245"/>
      <c r="BEX56" s="245"/>
      <c r="BEY56" s="245"/>
      <c r="BEZ56" s="245"/>
      <c r="BFA56" s="245"/>
      <c r="BFB56" s="245"/>
      <c r="BFC56" s="245"/>
      <c r="BFD56" s="245"/>
      <c r="BFE56" s="245"/>
      <c r="BFF56" s="245"/>
      <c r="BFG56" s="245"/>
      <c r="BFH56" s="245"/>
      <c r="BFI56" s="245"/>
      <c r="BFJ56" s="245"/>
      <c r="BFK56" s="245"/>
      <c r="BFL56" s="245"/>
      <c r="BFM56" s="245"/>
      <c r="BFN56" s="245"/>
      <c r="BFO56" s="245"/>
      <c r="BFP56" s="245"/>
      <c r="BFQ56" s="245"/>
      <c r="BFR56" s="245"/>
      <c r="BFS56" s="245"/>
      <c r="BFT56" s="245"/>
      <c r="BFU56" s="245"/>
      <c r="BFV56" s="245"/>
      <c r="BFW56" s="245"/>
      <c r="BFX56" s="245"/>
      <c r="BFY56" s="245"/>
      <c r="BFZ56" s="245"/>
      <c r="BGA56" s="245"/>
      <c r="BGB56" s="245"/>
      <c r="BGC56" s="245"/>
      <c r="BGD56" s="245"/>
      <c r="BGE56" s="245"/>
      <c r="BGF56" s="245"/>
      <c r="BGG56" s="245"/>
      <c r="BGH56" s="245"/>
      <c r="BGI56" s="245"/>
      <c r="BGJ56" s="245"/>
      <c r="BGK56" s="245"/>
      <c r="BGL56" s="245"/>
      <c r="BGM56" s="245"/>
      <c r="BGN56" s="245"/>
      <c r="BGO56" s="245"/>
      <c r="BGP56" s="245"/>
      <c r="BGQ56" s="245"/>
      <c r="BGR56" s="245"/>
      <c r="BGS56" s="245"/>
      <c r="BGT56" s="245"/>
      <c r="BGU56" s="245"/>
      <c r="BGV56" s="245"/>
      <c r="BGW56" s="245"/>
      <c r="BGX56" s="245"/>
      <c r="BGY56" s="245"/>
      <c r="BGZ56" s="245"/>
      <c r="BHA56" s="245"/>
      <c r="BHB56" s="245"/>
      <c r="BHC56" s="245"/>
      <c r="BHD56" s="245"/>
      <c r="BHE56" s="245"/>
      <c r="BHF56" s="245"/>
      <c r="BHG56" s="245"/>
      <c r="BHH56" s="245"/>
      <c r="BHI56" s="245"/>
      <c r="BHJ56" s="245"/>
      <c r="BHK56" s="245"/>
      <c r="BHL56" s="245"/>
      <c r="BHM56" s="245"/>
      <c r="BHN56" s="245"/>
      <c r="BHO56" s="245"/>
      <c r="BHP56" s="245"/>
      <c r="BHQ56" s="245"/>
      <c r="BHR56" s="245"/>
      <c r="BHS56" s="245"/>
      <c r="BHT56" s="245"/>
      <c r="BHU56" s="245"/>
      <c r="BHV56" s="245"/>
      <c r="BHW56" s="245"/>
      <c r="BHX56" s="245"/>
      <c r="BHY56" s="245"/>
      <c r="BHZ56" s="245"/>
      <c r="BIA56" s="245"/>
      <c r="BIB56" s="245"/>
      <c r="BIC56" s="245"/>
      <c r="BID56" s="245"/>
      <c r="BIE56" s="245"/>
      <c r="BIF56" s="245"/>
      <c r="BIG56" s="245"/>
      <c r="BIH56" s="245"/>
      <c r="BII56" s="245"/>
      <c r="BIJ56" s="245"/>
      <c r="BIK56" s="245"/>
      <c r="BIL56" s="245"/>
      <c r="BIM56" s="245"/>
      <c r="BIN56" s="245"/>
      <c r="BIO56" s="245"/>
      <c r="BIP56" s="245"/>
      <c r="BIQ56" s="245"/>
      <c r="BIR56" s="245"/>
      <c r="BIS56" s="245"/>
      <c r="BIT56" s="245"/>
      <c r="BIU56" s="245"/>
      <c r="BIV56" s="245"/>
      <c r="BIW56" s="245"/>
      <c r="BIX56" s="245"/>
      <c r="BIY56" s="245"/>
      <c r="BIZ56" s="245"/>
      <c r="BJA56" s="245"/>
      <c r="BJB56" s="245"/>
      <c r="BJC56" s="245"/>
      <c r="BJD56" s="245"/>
      <c r="BJE56" s="245"/>
      <c r="BJF56" s="245"/>
      <c r="BJG56" s="245"/>
      <c r="BJH56" s="245"/>
      <c r="BJI56" s="245"/>
      <c r="BJJ56" s="245"/>
      <c r="BJK56" s="245"/>
      <c r="BJL56" s="245"/>
      <c r="BJM56" s="245"/>
      <c r="BJN56" s="245"/>
      <c r="BJO56" s="245"/>
      <c r="BJP56" s="245"/>
      <c r="BJQ56" s="245"/>
      <c r="BJR56" s="245"/>
      <c r="BJS56" s="245"/>
      <c r="BJT56" s="245"/>
      <c r="BJU56" s="245"/>
      <c r="BJV56" s="245"/>
      <c r="BJW56" s="245"/>
      <c r="BJX56" s="245"/>
      <c r="BJY56" s="245"/>
      <c r="BJZ56" s="245"/>
      <c r="BKA56" s="245"/>
      <c r="BKB56" s="245"/>
      <c r="BKC56" s="245"/>
      <c r="BKD56" s="245"/>
      <c r="BKE56" s="245"/>
      <c r="BKF56" s="245"/>
      <c r="BKG56" s="245"/>
      <c r="BKH56" s="245"/>
      <c r="BKI56" s="245"/>
      <c r="BKJ56" s="245"/>
      <c r="BKK56" s="245"/>
      <c r="BKL56" s="245"/>
      <c r="BKM56" s="245"/>
      <c r="BKN56" s="245"/>
      <c r="BKO56" s="245"/>
      <c r="BKP56" s="245"/>
      <c r="BKQ56" s="245"/>
      <c r="BKR56" s="245"/>
      <c r="BKS56" s="245"/>
      <c r="BKT56" s="245"/>
      <c r="BKU56" s="245"/>
      <c r="BKV56" s="245"/>
      <c r="BKW56" s="245"/>
      <c r="BKX56" s="245"/>
      <c r="BKY56" s="245"/>
      <c r="BKZ56" s="245"/>
      <c r="BLA56" s="245"/>
      <c r="BLB56" s="245"/>
      <c r="BLC56" s="245"/>
      <c r="BLD56" s="245"/>
      <c r="BLE56" s="245"/>
      <c r="BLF56" s="245"/>
      <c r="BLG56" s="245"/>
      <c r="BLH56" s="245"/>
      <c r="BLI56" s="245"/>
      <c r="BLJ56" s="245"/>
      <c r="BLK56" s="245"/>
      <c r="BLL56" s="245"/>
      <c r="BLM56" s="245"/>
      <c r="BLN56" s="245"/>
      <c r="BLO56" s="245"/>
      <c r="BLP56" s="245"/>
      <c r="BLQ56" s="245"/>
      <c r="BLR56" s="245"/>
      <c r="BLS56" s="245"/>
      <c r="BLT56" s="245"/>
      <c r="BLU56" s="245"/>
      <c r="BLV56" s="245"/>
      <c r="BLW56" s="245"/>
      <c r="BLX56" s="245"/>
      <c r="BLY56" s="245"/>
      <c r="BLZ56" s="245"/>
      <c r="BMA56" s="245"/>
      <c r="BMB56" s="245"/>
      <c r="BMC56" s="245"/>
      <c r="BMD56" s="245"/>
      <c r="BME56" s="245"/>
      <c r="BMF56" s="245"/>
      <c r="BMG56" s="245"/>
      <c r="BMH56" s="245"/>
      <c r="BMI56" s="245"/>
      <c r="BMJ56" s="245"/>
      <c r="BMK56" s="245"/>
      <c r="BML56" s="245"/>
      <c r="BMM56" s="245"/>
      <c r="BMN56" s="245"/>
      <c r="BMO56" s="245"/>
      <c r="BMP56" s="245"/>
      <c r="BMQ56" s="245"/>
      <c r="BMR56" s="245"/>
      <c r="BMS56" s="245"/>
      <c r="BMT56" s="245"/>
      <c r="BMU56" s="245"/>
      <c r="BMV56" s="245"/>
      <c r="BMW56" s="245"/>
      <c r="BMX56" s="245"/>
      <c r="BMY56" s="245"/>
      <c r="BMZ56" s="245"/>
      <c r="BNA56" s="245"/>
      <c r="BNB56" s="245"/>
      <c r="BNC56" s="245"/>
      <c r="BND56" s="245"/>
      <c r="BNE56" s="245"/>
      <c r="BNF56" s="245"/>
      <c r="BNG56" s="245"/>
      <c r="BNH56" s="245"/>
      <c r="BNI56" s="245"/>
      <c r="BNJ56" s="245"/>
      <c r="BNK56" s="245"/>
      <c r="BNL56" s="245"/>
      <c r="BNM56" s="245"/>
      <c r="BNN56" s="245"/>
      <c r="BNO56" s="245"/>
      <c r="BNP56" s="245"/>
      <c r="BNQ56" s="245"/>
      <c r="BNR56" s="245"/>
      <c r="BNS56" s="245"/>
      <c r="BNT56" s="245"/>
      <c r="BNU56" s="245"/>
      <c r="BNV56" s="245"/>
      <c r="BNW56" s="245"/>
      <c r="BNX56" s="245"/>
      <c r="BNY56" s="245"/>
      <c r="BNZ56" s="245"/>
      <c r="BOA56" s="245"/>
      <c r="BOB56" s="245"/>
      <c r="BOC56" s="245"/>
      <c r="BOD56" s="245"/>
      <c r="BOE56" s="245"/>
      <c r="BOF56" s="245"/>
      <c r="BOG56" s="245"/>
      <c r="BOH56" s="245"/>
      <c r="BOI56" s="245"/>
      <c r="BOJ56" s="245"/>
      <c r="BOK56" s="245"/>
      <c r="BOL56" s="245"/>
      <c r="BOM56" s="245"/>
      <c r="BON56" s="245"/>
      <c r="BOO56" s="245"/>
      <c r="BOP56" s="245"/>
      <c r="BOQ56" s="245"/>
      <c r="BOR56" s="245"/>
      <c r="BOS56" s="245"/>
      <c r="BOT56" s="245"/>
      <c r="BOU56" s="245"/>
      <c r="BOV56" s="245"/>
      <c r="BOW56" s="245"/>
      <c r="BOX56" s="245"/>
      <c r="BOY56" s="245"/>
      <c r="BOZ56" s="245"/>
      <c r="BPA56" s="245"/>
      <c r="BPB56" s="245"/>
      <c r="BPC56" s="245"/>
      <c r="BPD56" s="245"/>
      <c r="BPE56" s="245"/>
      <c r="BPF56" s="245"/>
      <c r="BPG56" s="245"/>
      <c r="BPH56" s="245"/>
      <c r="BPI56" s="245"/>
      <c r="BPJ56" s="245"/>
      <c r="BPK56" s="245"/>
      <c r="BPL56" s="245"/>
      <c r="BPM56" s="245"/>
      <c r="BPN56" s="245"/>
      <c r="BPO56" s="245"/>
      <c r="BPP56" s="245"/>
      <c r="BPQ56" s="245"/>
      <c r="BPR56" s="245"/>
      <c r="BPS56" s="245"/>
      <c r="BPT56" s="245"/>
      <c r="BPU56" s="245"/>
      <c r="BPV56" s="245"/>
      <c r="BPW56" s="245"/>
      <c r="BPX56" s="245"/>
      <c r="BPY56" s="245"/>
      <c r="BPZ56" s="245"/>
      <c r="BQA56" s="245"/>
      <c r="BQB56" s="245"/>
      <c r="BQC56" s="245"/>
      <c r="BQD56" s="245"/>
      <c r="BQE56" s="245"/>
      <c r="BQF56" s="245"/>
      <c r="BQG56" s="245"/>
      <c r="BQH56" s="245"/>
      <c r="BQI56" s="245"/>
      <c r="BQJ56" s="245"/>
      <c r="BQK56" s="245"/>
      <c r="BQL56" s="245"/>
      <c r="BQM56" s="245"/>
      <c r="BQN56" s="245"/>
      <c r="BQO56" s="245"/>
      <c r="BQP56" s="245"/>
      <c r="BQQ56" s="245"/>
      <c r="BQR56" s="245"/>
      <c r="BQS56" s="245"/>
      <c r="BQT56" s="245"/>
      <c r="BQU56" s="245"/>
      <c r="BQV56" s="245"/>
      <c r="BQW56" s="245"/>
      <c r="BQX56" s="245"/>
      <c r="BQY56" s="245"/>
      <c r="BQZ56" s="245"/>
      <c r="BRA56" s="245"/>
      <c r="BRB56" s="245"/>
      <c r="BRC56" s="245"/>
      <c r="BRD56" s="245"/>
      <c r="BRE56" s="245"/>
      <c r="BRF56" s="245"/>
      <c r="BRG56" s="245"/>
      <c r="BRH56" s="245"/>
      <c r="BRI56" s="245"/>
      <c r="BRJ56" s="245"/>
      <c r="BRK56" s="245"/>
      <c r="BRL56" s="245"/>
      <c r="BRM56" s="245"/>
      <c r="BRN56" s="245"/>
      <c r="BRO56" s="245"/>
      <c r="BRP56" s="245"/>
      <c r="BRQ56" s="245"/>
      <c r="BRR56" s="245"/>
      <c r="BRS56" s="245"/>
      <c r="BRT56" s="245"/>
      <c r="BRU56" s="245"/>
      <c r="BRV56" s="245"/>
      <c r="BRW56" s="245"/>
      <c r="BRX56" s="245"/>
      <c r="BRY56" s="245"/>
      <c r="BRZ56" s="245"/>
      <c r="BSA56" s="245"/>
      <c r="BSB56" s="245"/>
      <c r="BSC56" s="245"/>
      <c r="BSD56" s="245"/>
      <c r="BSE56" s="245"/>
      <c r="BSF56" s="245"/>
      <c r="BSG56" s="245"/>
      <c r="BSH56" s="245"/>
      <c r="BSI56" s="245"/>
      <c r="BSJ56" s="245"/>
      <c r="BSK56" s="245"/>
      <c r="BSL56" s="245"/>
      <c r="BSM56" s="245"/>
      <c r="BSN56" s="245"/>
      <c r="BSO56" s="245"/>
      <c r="BSP56" s="245"/>
      <c r="BSQ56" s="245"/>
      <c r="BSR56" s="245"/>
      <c r="BSS56" s="245"/>
      <c r="BST56" s="245"/>
      <c r="BSU56" s="245"/>
      <c r="BSV56" s="245"/>
      <c r="BSW56" s="245"/>
      <c r="BSX56" s="245"/>
      <c r="BSY56" s="245"/>
      <c r="BSZ56" s="245"/>
      <c r="BTA56" s="245"/>
      <c r="BTB56" s="245"/>
      <c r="BTC56" s="245"/>
      <c r="BTD56" s="245"/>
      <c r="BTE56" s="245"/>
      <c r="BTF56" s="245"/>
      <c r="BTG56" s="245"/>
      <c r="BTH56" s="245"/>
      <c r="BTI56" s="245"/>
      <c r="BTJ56" s="245"/>
      <c r="BTK56" s="245"/>
      <c r="BTL56" s="245"/>
      <c r="BTM56" s="245"/>
      <c r="BTN56" s="245"/>
      <c r="BTO56" s="245"/>
      <c r="BTP56" s="245"/>
      <c r="BTQ56" s="245"/>
      <c r="BTR56" s="245"/>
      <c r="BTS56" s="245"/>
      <c r="BTT56" s="245"/>
      <c r="BTU56" s="245"/>
      <c r="BTV56" s="245"/>
      <c r="BTW56" s="245"/>
      <c r="BTX56" s="245"/>
      <c r="BTY56" s="245"/>
      <c r="BTZ56" s="245"/>
      <c r="BUA56" s="245"/>
      <c r="BUB56" s="245"/>
      <c r="BUC56" s="245"/>
      <c r="BUD56" s="245"/>
      <c r="BUE56" s="245"/>
      <c r="BUF56" s="245"/>
      <c r="BUG56" s="245"/>
      <c r="BUH56" s="245"/>
      <c r="BUI56" s="245"/>
      <c r="BUJ56" s="245"/>
      <c r="BUK56" s="245"/>
      <c r="BUL56" s="245"/>
      <c r="BUM56" s="245"/>
      <c r="BUN56" s="245"/>
      <c r="BUO56" s="245"/>
      <c r="BUP56" s="245"/>
      <c r="BUQ56" s="245"/>
      <c r="BUR56" s="245"/>
      <c r="BUS56" s="245"/>
      <c r="BUT56" s="245"/>
      <c r="BUU56" s="245"/>
      <c r="BUV56" s="245"/>
      <c r="BUW56" s="245"/>
      <c r="BUX56" s="245"/>
      <c r="BUY56" s="245"/>
      <c r="BUZ56" s="245"/>
      <c r="BVA56" s="245"/>
      <c r="BVB56" s="245"/>
      <c r="BVC56" s="245"/>
      <c r="BVD56" s="245"/>
      <c r="BVE56" s="245"/>
      <c r="BVF56" s="245"/>
      <c r="BVG56" s="245"/>
      <c r="BVH56" s="245"/>
      <c r="BVI56" s="245"/>
      <c r="BVJ56" s="245"/>
      <c r="BVK56" s="245"/>
      <c r="BVL56" s="245"/>
      <c r="BVM56" s="245"/>
      <c r="BVN56" s="245"/>
      <c r="BVO56" s="245"/>
      <c r="BVP56" s="245"/>
      <c r="BVQ56" s="245"/>
      <c r="BVR56" s="245"/>
      <c r="BVS56" s="245"/>
      <c r="BVT56" s="245"/>
      <c r="BVU56" s="245"/>
      <c r="BVV56" s="245"/>
      <c r="BVW56" s="245"/>
      <c r="BVX56" s="245"/>
      <c r="BVY56" s="245"/>
      <c r="BVZ56" s="245"/>
      <c r="BWA56" s="245"/>
      <c r="BWB56" s="245"/>
      <c r="BWC56" s="245"/>
      <c r="BWD56" s="245"/>
      <c r="BWE56" s="245"/>
      <c r="BWF56" s="245"/>
      <c r="BWG56" s="245"/>
      <c r="BWH56" s="245"/>
      <c r="BWI56" s="245"/>
      <c r="BWJ56" s="245"/>
      <c r="BWK56" s="245"/>
      <c r="BWL56" s="245"/>
      <c r="BWM56" s="245"/>
      <c r="BWN56" s="245"/>
      <c r="BWO56" s="245"/>
      <c r="BWP56" s="245"/>
      <c r="BWQ56" s="245"/>
      <c r="BWR56" s="245"/>
      <c r="BWS56" s="245"/>
      <c r="BWT56" s="245"/>
      <c r="BWU56" s="245"/>
      <c r="BWV56" s="245"/>
      <c r="BWW56" s="245"/>
      <c r="BWX56" s="245"/>
      <c r="BWY56" s="245"/>
      <c r="BWZ56" s="245"/>
      <c r="BXA56" s="245"/>
      <c r="BXB56" s="245"/>
      <c r="BXC56" s="245"/>
      <c r="BXD56" s="245"/>
      <c r="BXE56" s="245"/>
      <c r="BXF56" s="245"/>
      <c r="BXG56" s="245"/>
      <c r="BXH56" s="245"/>
      <c r="BXI56" s="245"/>
      <c r="BXJ56" s="245"/>
      <c r="BXK56" s="245"/>
      <c r="BXL56" s="245"/>
      <c r="BXM56" s="245"/>
      <c r="BXN56" s="245"/>
      <c r="BXO56" s="245"/>
      <c r="BXP56" s="245"/>
      <c r="BXQ56" s="245"/>
      <c r="BXR56" s="245"/>
      <c r="BXS56" s="245"/>
      <c r="BXT56" s="245"/>
      <c r="BXU56" s="245"/>
      <c r="BXV56" s="245"/>
      <c r="BXW56" s="245"/>
      <c r="BXX56" s="245"/>
      <c r="BXY56" s="245"/>
      <c r="BXZ56" s="245"/>
      <c r="BYA56" s="245"/>
      <c r="BYB56" s="245"/>
      <c r="BYC56" s="245"/>
      <c r="BYD56" s="245"/>
      <c r="BYE56" s="245"/>
      <c r="BYF56" s="245"/>
      <c r="BYG56" s="245"/>
      <c r="BYH56" s="245"/>
      <c r="BYI56" s="245"/>
      <c r="BYJ56" s="245"/>
      <c r="BYK56" s="245"/>
      <c r="BYL56" s="245"/>
      <c r="BYM56" s="245"/>
      <c r="BYN56" s="245"/>
      <c r="BYO56" s="245"/>
      <c r="BYP56" s="245"/>
      <c r="BYQ56" s="245"/>
      <c r="BYR56" s="245"/>
      <c r="BYS56" s="245"/>
      <c r="BYT56" s="245"/>
      <c r="BYU56" s="245"/>
      <c r="BYV56" s="245"/>
      <c r="BYW56" s="245"/>
      <c r="BYX56" s="245"/>
      <c r="BYY56" s="245"/>
      <c r="BYZ56" s="245"/>
      <c r="BZA56" s="245"/>
      <c r="BZB56" s="245"/>
      <c r="BZC56" s="245"/>
      <c r="BZD56" s="245"/>
      <c r="BZE56" s="245"/>
      <c r="BZF56" s="245"/>
      <c r="BZG56" s="245"/>
      <c r="BZH56" s="245"/>
      <c r="BZI56" s="245"/>
      <c r="BZJ56" s="245"/>
      <c r="BZK56" s="245"/>
      <c r="BZL56" s="245"/>
      <c r="BZM56" s="245"/>
      <c r="BZN56" s="245"/>
      <c r="BZO56" s="245"/>
      <c r="BZP56" s="245"/>
      <c r="BZQ56" s="245"/>
      <c r="BZR56" s="245"/>
      <c r="BZS56" s="245"/>
      <c r="BZT56" s="245"/>
      <c r="BZU56" s="245"/>
      <c r="BZV56" s="245"/>
      <c r="BZW56" s="245"/>
      <c r="BZX56" s="245"/>
      <c r="BZY56" s="245"/>
      <c r="BZZ56" s="245"/>
      <c r="CAA56" s="245"/>
      <c r="CAB56" s="245"/>
      <c r="CAC56" s="245"/>
      <c r="CAD56" s="245"/>
      <c r="CAE56" s="245"/>
      <c r="CAF56" s="245"/>
      <c r="CAG56" s="245"/>
      <c r="CAH56" s="245"/>
      <c r="CAI56" s="245"/>
      <c r="CAJ56" s="245"/>
      <c r="CAK56" s="245"/>
      <c r="CAL56" s="245"/>
      <c r="CAM56" s="245"/>
      <c r="CAN56" s="245"/>
      <c r="CAO56" s="245"/>
      <c r="CAP56" s="245"/>
      <c r="CAQ56" s="245"/>
      <c r="CAR56" s="245"/>
      <c r="CAS56" s="245"/>
      <c r="CAT56" s="245"/>
      <c r="CAU56" s="245"/>
      <c r="CAV56" s="245"/>
      <c r="CAW56" s="245"/>
      <c r="CAX56" s="245"/>
      <c r="CAY56" s="245"/>
      <c r="CAZ56" s="245"/>
      <c r="CBA56" s="245"/>
      <c r="CBB56" s="245"/>
      <c r="CBC56" s="245"/>
      <c r="CBD56" s="245"/>
      <c r="CBE56" s="245"/>
      <c r="CBF56" s="245"/>
      <c r="CBG56" s="245"/>
      <c r="CBH56" s="245"/>
      <c r="CBI56" s="245"/>
      <c r="CBJ56" s="245"/>
      <c r="CBK56" s="245"/>
      <c r="CBL56" s="245"/>
      <c r="CBM56" s="245"/>
      <c r="CBN56" s="245"/>
      <c r="CBO56" s="245"/>
      <c r="CBP56" s="245"/>
      <c r="CBQ56" s="245"/>
      <c r="CBR56" s="245"/>
      <c r="CBS56" s="245"/>
      <c r="CBT56" s="245"/>
      <c r="CBU56" s="245"/>
      <c r="CBV56" s="245"/>
      <c r="CBW56" s="245"/>
      <c r="CBX56" s="245"/>
      <c r="CBY56" s="245"/>
      <c r="CBZ56" s="245"/>
      <c r="CCA56" s="245"/>
      <c r="CCB56" s="245"/>
      <c r="CCC56" s="245"/>
      <c r="CCD56" s="245"/>
      <c r="CCE56" s="245"/>
      <c r="CCF56" s="245"/>
      <c r="CCG56" s="245"/>
      <c r="CCH56" s="245"/>
      <c r="CCI56" s="245"/>
      <c r="CCJ56" s="245"/>
      <c r="CCK56" s="245"/>
      <c r="CCL56" s="245"/>
      <c r="CCM56" s="245"/>
      <c r="CCN56" s="245"/>
      <c r="CCO56" s="245"/>
      <c r="CCP56" s="245"/>
      <c r="CCQ56" s="245"/>
      <c r="CCR56" s="245"/>
      <c r="CCS56" s="245"/>
      <c r="CCT56" s="245"/>
      <c r="CCU56" s="245"/>
      <c r="CCV56" s="245"/>
      <c r="CCW56" s="245"/>
      <c r="CCX56" s="245"/>
      <c r="CCY56" s="245"/>
      <c r="CCZ56" s="245"/>
      <c r="CDA56" s="245"/>
      <c r="CDB56" s="245"/>
      <c r="CDC56" s="245"/>
      <c r="CDD56" s="245"/>
      <c r="CDE56" s="245"/>
      <c r="CDF56" s="245"/>
      <c r="CDG56" s="245"/>
      <c r="CDH56" s="245"/>
      <c r="CDI56" s="245"/>
      <c r="CDJ56" s="245"/>
      <c r="CDK56" s="245"/>
      <c r="CDL56" s="245"/>
      <c r="CDM56" s="245"/>
      <c r="CDN56" s="245"/>
      <c r="CDO56" s="245"/>
      <c r="CDP56" s="245"/>
      <c r="CDQ56" s="245"/>
      <c r="CDR56" s="245"/>
      <c r="CDS56" s="245"/>
      <c r="CDT56" s="245"/>
      <c r="CDU56" s="245"/>
      <c r="CDV56" s="245"/>
      <c r="CDW56" s="245"/>
      <c r="CDX56" s="245"/>
      <c r="CDY56" s="245"/>
      <c r="CDZ56" s="245"/>
      <c r="CEA56" s="245"/>
      <c r="CEB56" s="245"/>
      <c r="CEC56" s="245"/>
      <c r="CED56" s="245"/>
      <c r="CEE56" s="245"/>
      <c r="CEF56" s="245"/>
      <c r="CEG56" s="245"/>
      <c r="CEH56" s="245"/>
      <c r="CEI56" s="245"/>
      <c r="CEJ56" s="245"/>
      <c r="CEK56" s="245"/>
      <c r="CEL56" s="245"/>
      <c r="CEM56" s="245"/>
      <c r="CEN56" s="245"/>
      <c r="CEO56" s="245"/>
      <c r="CEP56" s="245"/>
      <c r="CEQ56" s="245"/>
      <c r="CER56" s="245"/>
      <c r="CES56" s="245"/>
      <c r="CET56" s="245"/>
      <c r="CEU56" s="245"/>
      <c r="CEV56" s="245"/>
      <c r="CEW56" s="245"/>
      <c r="CEX56" s="245"/>
      <c r="CEY56" s="245"/>
      <c r="CEZ56" s="245"/>
      <c r="CFA56" s="245"/>
      <c r="CFB56" s="245"/>
      <c r="CFC56" s="245"/>
      <c r="CFD56" s="245"/>
      <c r="CFE56" s="245"/>
      <c r="CFF56" s="245"/>
      <c r="CFG56" s="245"/>
      <c r="CFH56" s="245"/>
      <c r="CFI56" s="245"/>
      <c r="CFJ56" s="245"/>
      <c r="CFK56" s="245"/>
      <c r="CFL56" s="245"/>
      <c r="CFM56" s="245"/>
      <c r="CFN56" s="245"/>
      <c r="CFO56" s="245"/>
      <c r="CFP56" s="245"/>
      <c r="CFQ56" s="245"/>
      <c r="CFR56" s="245"/>
      <c r="CFS56" s="245"/>
      <c r="CFT56" s="245"/>
      <c r="CFU56" s="245"/>
      <c r="CFV56" s="245"/>
      <c r="CFW56" s="245"/>
      <c r="CFX56" s="245"/>
      <c r="CFY56" s="245"/>
      <c r="CFZ56" s="245"/>
      <c r="CGA56" s="245"/>
      <c r="CGB56" s="245"/>
      <c r="CGC56" s="245"/>
      <c r="CGD56" s="245"/>
      <c r="CGE56" s="245"/>
      <c r="CGF56" s="245"/>
      <c r="CGG56" s="245"/>
      <c r="CGH56" s="245"/>
      <c r="CGI56" s="245"/>
      <c r="CGJ56" s="245"/>
      <c r="CGK56" s="245"/>
      <c r="CGL56" s="245"/>
      <c r="CGM56" s="245"/>
      <c r="CGN56" s="245"/>
      <c r="CGO56" s="245"/>
      <c r="CGP56" s="245"/>
      <c r="CGQ56" s="245"/>
      <c r="CGR56" s="245"/>
      <c r="CGS56" s="245"/>
      <c r="CGT56" s="245"/>
      <c r="CGU56" s="245"/>
      <c r="CGV56" s="245"/>
      <c r="CGW56" s="245"/>
      <c r="CGX56" s="245"/>
      <c r="CGY56" s="245"/>
      <c r="CGZ56" s="245"/>
      <c r="CHA56" s="245"/>
      <c r="CHB56" s="245"/>
      <c r="CHC56" s="245"/>
      <c r="CHD56" s="245"/>
      <c r="CHE56" s="245"/>
      <c r="CHF56" s="245"/>
      <c r="CHG56" s="245"/>
      <c r="CHH56" s="245"/>
      <c r="CHI56" s="245"/>
      <c r="CHJ56" s="245"/>
      <c r="CHK56" s="245"/>
      <c r="CHL56" s="245"/>
      <c r="CHM56" s="245"/>
      <c r="CHN56" s="245"/>
      <c r="CHO56" s="245"/>
      <c r="CHP56" s="245"/>
      <c r="CHQ56" s="245"/>
      <c r="CHR56" s="245"/>
      <c r="CHS56" s="245"/>
      <c r="CHT56" s="245"/>
      <c r="CHU56" s="245"/>
      <c r="CHV56" s="245"/>
      <c r="CHW56" s="245"/>
      <c r="CHX56" s="245"/>
      <c r="CHY56" s="245"/>
      <c r="CHZ56" s="245"/>
      <c r="CIA56" s="245"/>
      <c r="CIB56" s="245"/>
      <c r="CIC56" s="245"/>
      <c r="CID56" s="245"/>
      <c r="CIE56" s="245"/>
      <c r="CIF56" s="245"/>
      <c r="CIG56" s="245"/>
      <c r="CIH56" s="245"/>
      <c r="CII56" s="245"/>
      <c r="CIJ56" s="245"/>
      <c r="CIK56" s="245"/>
      <c r="CIL56" s="245"/>
      <c r="CIM56" s="245"/>
      <c r="CIN56" s="245"/>
      <c r="CIO56" s="245"/>
      <c r="CIP56" s="245"/>
      <c r="CIQ56" s="245"/>
      <c r="CIR56" s="245"/>
      <c r="CIS56" s="245"/>
      <c r="CIT56" s="245"/>
      <c r="CIU56" s="245"/>
      <c r="CIV56" s="245"/>
      <c r="CIW56" s="245"/>
      <c r="CIX56" s="245"/>
      <c r="CIY56" s="245"/>
      <c r="CIZ56" s="245"/>
      <c r="CJA56" s="245"/>
      <c r="CJB56" s="245"/>
      <c r="CJC56" s="245"/>
      <c r="CJD56" s="245"/>
      <c r="CJE56" s="245"/>
      <c r="CJF56" s="245"/>
      <c r="CJG56" s="245"/>
      <c r="CJH56" s="245"/>
      <c r="CJI56" s="245"/>
      <c r="CJJ56" s="245"/>
      <c r="CJK56" s="245"/>
      <c r="CJL56" s="245"/>
      <c r="CJM56" s="245"/>
      <c r="CJN56" s="245"/>
      <c r="CJO56" s="245"/>
      <c r="CJP56" s="245"/>
      <c r="CJQ56" s="245"/>
      <c r="CJR56" s="245"/>
      <c r="CJS56" s="245"/>
      <c r="CJT56" s="245"/>
      <c r="CJU56" s="245"/>
      <c r="CJV56" s="245"/>
      <c r="CJW56" s="245"/>
      <c r="CJX56" s="245"/>
      <c r="CJY56" s="245"/>
      <c r="CJZ56" s="245"/>
      <c r="CKA56" s="245"/>
      <c r="CKB56" s="245"/>
      <c r="CKC56" s="245"/>
      <c r="CKD56" s="245"/>
      <c r="CKE56" s="245"/>
      <c r="CKF56" s="245"/>
      <c r="CKG56" s="245"/>
      <c r="CKH56" s="245"/>
      <c r="CKI56" s="245"/>
      <c r="CKJ56" s="245"/>
      <c r="CKK56" s="245"/>
      <c r="CKL56" s="245"/>
      <c r="CKM56" s="245"/>
      <c r="CKN56" s="245"/>
      <c r="CKO56" s="245"/>
      <c r="CKP56" s="245"/>
      <c r="CKQ56" s="245"/>
      <c r="CKR56" s="245"/>
      <c r="CKS56" s="245"/>
      <c r="CKT56" s="245"/>
      <c r="CKU56" s="245"/>
      <c r="CKV56" s="245"/>
      <c r="CKW56" s="245"/>
      <c r="CKX56" s="245"/>
      <c r="CKY56" s="245"/>
      <c r="CKZ56" s="245"/>
      <c r="CLA56" s="245"/>
      <c r="CLB56" s="245"/>
      <c r="CLC56" s="245"/>
      <c r="CLD56" s="245"/>
      <c r="CLE56" s="245"/>
      <c r="CLF56" s="245"/>
      <c r="CLG56" s="245"/>
      <c r="CLH56" s="245"/>
      <c r="CLI56" s="245"/>
      <c r="CLJ56" s="245"/>
      <c r="CLK56" s="245"/>
      <c r="CLL56" s="245"/>
      <c r="CLM56" s="245"/>
      <c r="CLN56" s="245"/>
      <c r="CLO56" s="245"/>
      <c r="CLP56" s="245"/>
      <c r="CLQ56" s="245"/>
      <c r="CLR56" s="245"/>
      <c r="CLS56" s="245"/>
      <c r="CLT56" s="245"/>
      <c r="CLU56" s="245"/>
      <c r="CLV56" s="245"/>
      <c r="CLW56" s="245"/>
      <c r="CLX56" s="245"/>
      <c r="CLY56" s="245"/>
      <c r="CLZ56" s="245"/>
      <c r="CMA56" s="245"/>
      <c r="CMB56" s="245"/>
      <c r="CMC56" s="245"/>
      <c r="CMD56" s="245"/>
      <c r="CME56" s="245"/>
      <c r="CMF56" s="245"/>
      <c r="CMG56" s="245"/>
      <c r="CMH56" s="245"/>
      <c r="CMI56" s="245"/>
      <c r="CMJ56" s="245"/>
      <c r="CMK56" s="245"/>
      <c r="CML56" s="245"/>
      <c r="CMM56" s="245"/>
      <c r="CMN56" s="245"/>
      <c r="CMO56" s="245"/>
      <c r="CMP56" s="245"/>
      <c r="CMQ56" s="245"/>
      <c r="CMR56" s="245"/>
      <c r="CMS56" s="245"/>
      <c r="CMT56" s="245"/>
      <c r="CMU56" s="245"/>
      <c r="CMV56" s="245"/>
      <c r="CMW56" s="245"/>
      <c r="CMX56" s="245"/>
      <c r="CMY56" s="245"/>
      <c r="CMZ56" s="245"/>
      <c r="CNA56" s="245"/>
      <c r="CNB56" s="245"/>
      <c r="CNC56" s="245"/>
      <c r="CND56" s="245"/>
      <c r="CNE56" s="245"/>
      <c r="CNF56" s="245"/>
      <c r="CNG56" s="245"/>
      <c r="CNH56" s="245"/>
      <c r="CNI56" s="245"/>
      <c r="CNJ56" s="245"/>
      <c r="CNK56" s="245"/>
      <c r="CNL56" s="245"/>
      <c r="CNM56" s="245"/>
      <c r="CNN56" s="245"/>
      <c r="CNO56" s="245"/>
      <c r="CNP56" s="245"/>
      <c r="CNQ56" s="245"/>
      <c r="CNR56" s="245"/>
      <c r="CNS56" s="245"/>
      <c r="CNT56" s="245"/>
      <c r="CNU56" s="245"/>
      <c r="CNV56" s="245"/>
      <c r="CNW56" s="245"/>
      <c r="CNX56" s="245"/>
      <c r="CNY56" s="245"/>
      <c r="CNZ56" s="245"/>
      <c r="COA56" s="245"/>
      <c r="COB56" s="245"/>
      <c r="COC56" s="245"/>
      <c r="COD56" s="245"/>
      <c r="COE56" s="245"/>
      <c r="COF56" s="245"/>
      <c r="COG56" s="245"/>
      <c r="COH56" s="245"/>
      <c r="COI56" s="245"/>
      <c r="COJ56" s="245"/>
      <c r="COK56" s="245"/>
      <c r="COL56" s="245"/>
      <c r="COM56" s="245"/>
      <c r="CON56" s="245"/>
      <c r="COO56" s="245"/>
      <c r="COP56" s="245"/>
      <c r="COQ56" s="245"/>
      <c r="COR56" s="245"/>
      <c r="COS56" s="245"/>
      <c r="COT56" s="245"/>
      <c r="COU56" s="245"/>
      <c r="COV56" s="245"/>
      <c r="COW56" s="245"/>
      <c r="COX56" s="245"/>
      <c r="COY56" s="245"/>
      <c r="COZ56" s="245"/>
      <c r="CPA56" s="245"/>
      <c r="CPB56" s="245"/>
      <c r="CPC56" s="245"/>
      <c r="CPD56" s="245"/>
      <c r="CPE56" s="245"/>
      <c r="CPF56" s="245"/>
      <c r="CPG56" s="245"/>
      <c r="CPH56" s="245"/>
      <c r="CPI56" s="245"/>
      <c r="CPJ56" s="245"/>
      <c r="CPK56" s="245"/>
      <c r="CPL56" s="245"/>
      <c r="CPM56" s="245"/>
      <c r="CPN56" s="245"/>
      <c r="CPO56" s="245"/>
      <c r="CPP56" s="245"/>
      <c r="CPQ56" s="245"/>
      <c r="CPR56" s="245"/>
      <c r="CPS56" s="245"/>
      <c r="CPT56" s="245"/>
      <c r="CPU56" s="245"/>
      <c r="CPV56" s="245"/>
      <c r="CPW56" s="245"/>
      <c r="CPX56" s="245"/>
      <c r="CPY56" s="245"/>
      <c r="CPZ56" s="245"/>
      <c r="CQA56" s="245"/>
      <c r="CQB56" s="245"/>
      <c r="CQC56" s="245"/>
      <c r="CQD56" s="245"/>
      <c r="CQE56" s="245"/>
      <c r="CQF56" s="245"/>
      <c r="CQG56" s="245"/>
      <c r="CQH56" s="245"/>
      <c r="CQI56" s="245"/>
      <c r="CQJ56" s="245"/>
      <c r="CQK56" s="245"/>
      <c r="CQL56" s="245"/>
      <c r="CQM56" s="245"/>
      <c r="CQN56" s="245"/>
      <c r="CQO56" s="245"/>
      <c r="CQP56" s="245"/>
      <c r="CQQ56" s="245"/>
      <c r="CQR56" s="245"/>
      <c r="CQS56" s="245"/>
      <c r="CQT56" s="245"/>
      <c r="CQU56" s="245"/>
      <c r="CQV56" s="245"/>
      <c r="CQW56" s="245"/>
      <c r="CQX56" s="245"/>
      <c r="CQY56" s="245"/>
      <c r="CQZ56" s="245"/>
      <c r="CRA56" s="245"/>
      <c r="CRB56" s="245"/>
      <c r="CRC56" s="245"/>
      <c r="CRD56" s="245"/>
      <c r="CRE56" s="245"/>
      <c r="CRF56" s="245"/>
      <c r="CRG56" s="245"/>
      <c r="CRH56" s="245"/>
      <c r="CRI56" s="245"/>
      <c r="CRJ56" s="245"/>
      <c r="CRK56" s="245"/>
      <c r="CRL56" s="245"/>
      <c r="CRM56" s="245"/>
      <c r="CRN56" s="245"/>
      <c r="CRO56" s="245"/>
      <c r="CRP56" s="245"/>
      <c r="CRQ56" s="245"/>
      <c r="CRR56" s="245"/>
      <c r="CRS56" s="245"/>
      <c r="CRT56" s="245"/>
      <c r="CRU56" s="245"/>
      <c r="CRV56" s="245"/>
      <c r="CRW56" s="245"/>
      <c r="CRX56" s="245"/>
      <c r="CRY56" s="245"/>
      <c r="CRZ56" s="245"/>
      <c r="CSA56" s="245"/>
      <c r="CSB56" s="245"/>
      <c r="CSC56" s="245"/>
      <c r="CSD56" s="245"/>
      <c r="CSE56" s="245"/>
      <c r="CSF56" s="245"/>
      <c r="CSG56" s="245"/>
      <c r="CSH56" s="245"/>
      <c r="CSI56" s="245"/>
      <c r="CSJ56" s="245"/>
      <c r="CSK56" s="245"/>
      <c r="CSL56" s="245"/>
      <c r="CSM56" s="245"/>
      <c r="CSN56" s="245"/>
      <c r="CSO56" s="245"/>
      <c r="CSP56" s="245"/>
      <c r="CSQ56" s="245"/>
      <c r="CSR56" s="245"/>
      <c r="CSS56" s="245"/>
      <c r="CST56" s="245"/>
      <c r="CSU56" s="245"/>
      <c r="CSV56" s="245"/>
      <c r="CSW56" s="245"/>
      <c r="CSX56" s="245"/>
      <c r="CSY56" s="245"/>
      <c r="CSZ56" s="245"/>
      <c r="CTA56" s="245"/>
      <c r="CTB56" s="245"/>
      <c r="CTC56" s="245"/>
      <c r="CTD56" s="245"/>
      <c r="CTE56" s="245"/>
      <c r="CTF56" s="245"/>
      <c r="CTG56" s="245"/>
      <c r="CTH56" s="245"/>
      <c r="CTI56" s="245"/>
      <c r="CTJ56" s="245"/>
      <c r="CTK56" s="245"/>
      <c r="CTL56" s="245"/>
      <c r="CTM56" s="245"/>
      <c r="CTN56" s="245"/>
      <c r="CTO56" s="245"/>
      <c r="CTP56" s="245"/>
      <c r="CTQ56" s="245"/>
      <c r="CTR56" s="245"/>
      <c r="CTS56" s="245"/>
      <c r="CTT56" s="245"/>
      <c r="CTU56" s="245"/>
      <c r="CTV56" s="245"/>
      <c r="CTW56" s="245"/>
      <c r="CTX56" s="245"/>
      <c r="CTY56" s="245"/>
      <c r="CTZ56" s="245"/>
      <c r="CUA56" s="245"/>
      <c r="CUB56" s="245"/>
      <c r="CUC56" s="245"/>
      <c r="CUD56" s="245"/>
      <c r="CUE56" s="245"/>
      <c r="CUF56" s="245"/>
      <c r="CUG56" s="245"/>
      <c r="CUH56" s="245"/>
      <c r="CUI56" s="245"/>
      <c r="CUJ56" s="245"/>
      <c r="CUK56" s="245"/>
      <c r="CUL56" s="245"/>
      <c r="CUM56" s="245"/>
      <c r="CUN56" s="245"/>
      <c r="CUO56" s="245"/>
      <c r="CUP56" s="245"/>
      <c r="CUQ56" s="245"/>
      <c r="CUR56" s="245"/>
      <c r="CUS56" s="245"/>
      <c r="CUT56" s="245"/>
      <c r="CUU56" s="245"/>
      <c r="CUV56" s="245"/>
      <c r="CUW56" s="245"/>
      <c r="CUX56" s="245"/>
      <c r="CUY56" s="245"/>
      <c r="CUZ56" s="245"/>
      <c r="CVA56" s="245"/>
      <c r="CVB56" s="245"/>
      <c r="CVC56" s="245"/>
      <c r="CVD56" s="245"/>
      <c r="CVE56" s="245"/>
      <c r="CVF56" s="245"/>
      <c r="CVG56" s="245"/>
      <c r="CVH56" s="245"/>
      <c r="CVI56" s="245"/>
      <c r="CVJ56" s="245"/>
      <c r="CVK56" s="245"/>
      <c r="CVL56" s="245"/>
      <c r="CVM56" s="245"/>
      <c r="CVN56" s="245"/>
      <c r="CVO56" s="245"/>
      <c r="CVP56" s="245"/>
      <c r="CVQ56" s="245"/>
      <c r="CVR56" s="245"/>
      <c r="CVS56" s="245"/>
      <c r="CVT56" s="245"/>
      <c r="CVU56" s="245"/>
      <c r="CVV56" s="245"/>
      <c r="CVW56" s="245"/>
      <c r="CVX56" s="245"/>
      <c r="CVY56" s="245"/>
      <c r="CVZ56" s="245"/>
      <c r="CWA56" s="245"/>
      <c r="CWB56" s="245"/>
      <c r="CWC56" s="245"/>
      <c r="CWD56" s="245"/>
      <c r="CWE56" s="245"/>
      <c r="CWF56" s="245"/>
      <c r="CWG56" s="245"/>
      <c r="CWH56" s="245"/>
      <c r="CWI56" s="245"/>
      <c r="CWJ56" s="245"/>
      <c r="CWK56" s="245"/>
      <c r="CWL56" s="245"/>
      <c r="CWM56" s="245"/>
      <c r="CWN56" s="245"/>
      <c r="CWO56" s="245"/>
      <c r="CWP56" s="245"/>
      <c r="CWQ56" s="245"/>
      <c r="CWR56" s="245"/>
      <c r="CWS56" s="245"/>
      <c r="CWT56" s="245"/>
      <c r="CWU56" s="245"/>
      <c r="CWV56" s="245"/>
      <c r="CWW56" s="245"/>
      <c r="CWX56" s="245"/>
      <c r="CWY56" s="245"/>
      <c r="CWZ56" s="245"/>
      <c r="CXA56" s="245"/>
      <c r="CXB56" s="245"/>
      <c r="CXC56" s="245"/>
      <c r="CXD56" s="245"/>
      <c r="CXE56" s="245"/>
      <c r="CXF56" s="245"/>
      <c r="CXG56" s="245"/>
      <c r="CXH56" s="245"/>
      <c r="CXI56" s="245"/>
      <c r="CXJ56" s="245"/>
      <c r="CXK56" s="245"/>
      <c r="CXL56" s="245"/>
      <c r="CXM56" s="245"/>
      <c r="CXN56" s="245"/>
      <c r="CXO56" s="245"/>
      <c r="CXP56" s="245"/>
      <c r="CXQ56" s="245"/>
      <c r="CXR56" s="245"/>
      <c r="CXS56" s="245"/>
      <c r="CXT56" s="245"/>
      <c r="CXU56" s="245"/>
      <c r="CXV56" s="245"/>
      <c r="CXW56" s="245"/>
      <c r="CXX56" s="245"/>
      <c r="CXY56" s="245"/>
      <c r="CXZ56" s="245"/>
      <c r="CYA56" s="245"/>
      <c r="CYB56" s="245"/>
      <c r="CYC56" s="245"/>
      <c r="CYD56" s="245"/>
      <c r="CYE56" s="245"/>
      <c r="CYF56" s="245"/>
      <c r="CYG56" s="245"/>
      <c r="CYH56" s="245"/>
      <c r="CYI56" s="245"/>
      <c r="CYJ56" s="245"/>
      <c r="CYK56" s="245"/>
      <c r="CYL56" s="245"/>
      <c r="CYM56" s="245"/>
      <c r="CYN56" s="245"/>
      <c r="CYO56" s="245"/>
      <c r="CYP56" s="245"/>
      <c r="CYQ56" s="245"/>
      <c r="CYR56" s="245"/>
      <c r="CYS56" s="245"/>
      <c r="CYT56" s="245"/>
      <c r="CYU56" s="245"/>
      <c r="CYV56" s="245"/>
      <c r="CYW56" s="245"/>
      <c r="CYX56" s="245"/>
      <c r="CYY56" s="245"/>
      <c r="CYZ56" s="245"/>
      <c r="CZA56" s="245"/>
      <c r="CZB56" s="245"/>
      <c r="CZC56" s="245"/>
      <c r="CZD56" s="245"/>
      <c r="CZE56" s="245"/>
      <c r="CZF56" s="245"/>
      <c r="CZG56" s="245"/>
      <c r="CZH56" s="245"/>
      <c r="CZI56" s="245"/>
      <c r="CZJ56" s="245"/>
      <c r="CZK56" s="245"/>
      <c r="CZL56" s="245"/>
      <c r="CZM56" s="245"/>
      <c r="CZN56" s="245"/>
      <c r="CZO56" s="245"/>
      <c r="CZP56" s="245"/>
      <c r="CZQ56" s="245"/>
      <c r="CZR56" s="245"/>
      <c r="CZS56" s="245"/>
      <c r="CZT56" s="245"/>
      <c r="CZU56" s="245"/>
      <c r="CZV56" s="245"/>
      <c r="CZW56" s="245"/>
      <c r="CZX56" s="245"/>
      <c r="CZY56" s="245"/>
      <c r="CZZ56" s="245"/>
      <c r="DAA56" s="245"/>
      <c r="DAB56" s="245"/>
      <c r="DAC56" s="245"/>
      <c r="DAD56" s="245"/>
      <c r="DAE56" s="245"/>
      <c r="DAF56" s="245"/>
      <c r="DAG56" s="245"/>
      <c r="DAH56" s="245"/>
      <c r="DAI56" s="245"/>
      <c r="DAJ56" s="245"/>
      <c r="DAK56" s="245"/>
      <c r="DAL56" s="245"/>
      <c r="DAM56" s="245"/>
      <c r="DAN56" s="245"/>
      <c r="DAO56" s="245"/>
      <c r="DAP56" s="245"/>
      <c r="DAQ56" s="245"/>
      <c r="DAR56" s="245"/>
      <c r="DAS56" s="245"/>
      <c r="DAT56" s="245"/>
      <c r="DAU56" s="245"/>
      <c r="DAV56" s="245"/>
      <c r="DAW56" s="245"/>
      <c r="DAX56" s="245"/>
      <c r="DAY56" s="245"/>
      <c r="DAZ56" s="245"/>
      <c r="DBA56" s="245"/>
      <c r="DBB56" s="245"/>
      <c r="DBC56" s="245"/>
      <c r="DBD56" s="245"/>
      <c r="DBE56" s="245"/>
      <c r="DBF56" s="245"/>
      <c r="DBG56" s="245"/>
      <c r="DBH56" s="245"/>
      <c r="DBI56" s="245"/>
      <c r="DBJ56" s="245"/>
      <c r="DBK56" s="245"/>
      <c r="DBL56" s="245"/>
      <c r="DBM56" s="245"/>
      <c r="DBN56" s="245"/>
      <c r="DBO56" s="245"/>
      <c r="DBP56" s="245"/>
      <c r="DBQ56" s="245"/>
      <c r="DBR56" s="245"/>
      <c r="DBS56" s="245"/>
      <c r="DBT56" s="245"/>
      <c r="DBU56" s="245"/>
      <c r="DBV56" s="245"/>
      <c r="DBW56" s="245"/>
      <c r="DBX56" s="245"/>
      <c r="DBY56" s="245"/>
      <c r="DBZ56" s="245"/>
      <c r="DCA56" s="245"/>
      <c r="DCB56" s="245"/>
      <c r="DCC56" s="245"/>
      <c r="DCD56" s="245"/>
      <c r="DCE56" s="245"/>
      <c r="DCF56" s="245"/>
      <c r="DCG56" s="245"/>
      <c r="DCH56" s="245"/>
      <c r="DCI56" s="245"/>
      <c r="DCJ56" s="245"/>
      <c r="DCK56" s="245"/>
      <c r="DCL56" s="245"/>
      <c r="DCM56" s="245"/>
      <c r="DCN56" s="245"/>
      <c r="DCO56" s="245"/>
      <c r="DCP56" s="245"/>
      <c r="DCQ56" s="245"/>
      <c r="DCR56" s="245"/>
      <c r="DCS56" s="245"/>
      <c r="DCT56" s="245"/>
      <c r="DCU56" s="245"/>
      <c r="DCV56" s="245"/>
      <c r="DCW56" s="245"/>
      <c r="DCX56" s="245"/>
      <c r="DCY56" s="245"/>
      <c r="DCZ56" s="245"/>
      <c r="DDA56" s="245"/>
      <c r="DDB56" s="245"/>
      <c r="DDC56" s="245"/>
      <c r="DDD56" s="245"/>
      <c r="DDE56" s="245"/>
      <c r="DDF56" s="245"/>
      <c r="DDG56" s="245"/>
      <c r="DDH56" s="245"/>
      <c r="DDI56" s="245"/>
      <c r="DDJ56" s="245"/>
      <c r="DDK56" s="245"/>
      <c r="DDL56" s="245"/>
      <c r="DDM56" s="245"/>
      <c r="DDN56" s="245"/>
      <c r="DDO56" s="245"/>
      <c r="DDP56" s="245"/>
      <c r="DDQ56" s="245"/>
      <c r="DDR56" s="245"/>
      <c r="DDS56" s="245"/>
      <c r="DDT56" s="245"/>
      <c r="DDU56" s="245"/>
      <c r="DDV56" s="245"/>
      <c r="DDW56" s="245"/>
      <c r="DDX56" s="245"/>
      <c r="DDY56" s="245"/>
      <c r="DDZ56" s="245"/>
      <c r="DEA56" s="245"/>
      <c r="DEB56" s="245"/>
      <c r="DEC56" s="245"/>
      <c r="DED56" s="245"/>
      <c r="DEE56" s="245"/>
      <c r="DEF56" s="245"/>
      <c r="DEG56" s="245"/>
      <c r="DEH56" s="245"/>
      <c r="DEI56" s="245"/>
      <c r="DEJ56" s="245"/>
      <c r="DEK56" s="245"/>
      <c r="DEL56" s="245"/>
      <c r="DEM56" s="245"/>
      <c r="DEN56" s="245"/>
      <c r="DEO56" s="245"/>
      <c r="DEP56" s="245"/>
      <c r="DEQ56" s="245"/>
      <c r="DER56" s="245"/>
      <c r="DES56" s="245"/>
      <c r="DET56" s="245"/>
      <c r="DEU56" s="245"/>
      <c r="DEV56" s="245"/>
      <c r="DEW56" s="245"/>
      <c r="DEX56" s="245"/>
      <c r="DEY56" s="245"/>
      <c r="DEZ56" s="245"/>
      <c r="DFA56" s="245"/>
      <c r="DFB56" s="245"/>
      <c r="DFC56" s="245"/>
      <c r="DFD56" s="245"/>
      <c r="DFE56" s="245"/>
      <c r="DFF56" s="245"/>
      <c r="DFG56" s="245"/>
      <c r="DFH56" s="245"/>
      <c r="DFI56" s="245"/>
      <c r="DFJ56" s="245"/>
      <c r="DFK56" s="245"/>
      <c r="DFL56" s="245"/>
      <c r="DFM56" s="245"/>
      <c r="DFN56" s="245"/>
      <c r="DFO56" s="245"/>
      <c r="DFP56" s="245"/>
      <c r="DFQ56" s="245"/>
      <c r="DFR56" s="245"/>
      <c r="DFS56" s="245"/>
      <c r="DFT56" s="245"/>
      <c r="DFU56" s="245"/>
      <c r="DFV56" s="245"/>
      <c r="DFW56" s="245"/>
      <c r="DFX56" s="245"/>
      <c r="DFY56" s="245"/>
      <c r="DFZ56" s="245"/>
      <c r="DGA56" s="245"/>
      <c r="DGB56" s="245"/>
      <c r="DGC56" s="245"/>
      <c r="DGD56" s="245"/>
      <c r="DGE56" s="245"/>
      <c r="DGF56" s="245"/>
      <c r="DGG56" s="245"/>
      <c r="DGH56" s="245"/>
      <c r="DGI56" s="245"/>
      <c r="DGJ56" s="245"/>
      <c r="DGK56" s="245"/>
      <c r="DGL56" s="245"/>
      <c r="DGM56" s="245"/>
      <c r="DGN56" s="245"/>
      <c r="DGO56" s="245"/>
      <c r="DGP56" s="245"/>
      <c r="DGQ56" s="245"/>
      <c r="DGR56" s="245"/>
      <c r="DGS56" s="245"/>
      <c r="DGT56" s="245"/>
      <c r="DGU56" s="245"/>
      <c r="DGV56" s="245"/>
      <c r="DGW56" s="245"/>
      <c r="DGX56" s="245"/>
      <c r="DGY56" s="245"/>
      <c r="DGZ56" s="245"/>
      <c r="DHA56" s="245"/>
      <c r="DHB56" s="245"/>
      <c r="DHC56" s="245"/>
      <c r="DHD56" s="245"/>
      <c r="DHE56" s="245"/>
      <c r="DHF56" s="245"/>
      <c r="DHG56" s="245"/>
      <c r="DHH56" s="245"/>
      <c r="DHI56" s="245"/>
      <c r="DHJ56" s="245"/>
      <c r="DHK56" s="245"/>
      <c r="DHL56" s="245"/>
      <c r="DHM56" s="245"/>
      <c r="DHN56" s="245"/>
      <c r="DHO56" s="245"/>
      <c r="DHP56" s="245"/>
      <c r="DHQ56" s="245"/>
      <c r="DHR56" s="245"/>
      <c r="DHS56" s="245"/>
      <c r="DHT56" s="245"/>
      <c r="DHU56" s="245"/>
      <c r="DHV56" s="245"/>
      <c r="DHW56" s="245"/>
      <c r="DHX56" s="245"/>
      <c r="DHY56" s="245"/>
      <c r="DHZ56" s="245"/>
      <c r="DIA56" s="245"/>
      <c r="DIB56" s="245"/>
      <c r="DIC56" s="245"/>
      <c r="DID56" s="245"/>
      <c r="DIE56" s="245"/>
      <c r="DIF56" s="245"/>
      <c r="DIG56" s="245"/>
      <c r="DIH56" s="245"/>
      <c r="DII56" s="245"/>
      <c r="DIJ56" s="245"/>
      <c r="DIK56" s="245"/>
      <c r="DIL56" s="245"/>
      <c r="DIM56" s="245"/>
      <c r="DIN56" s="245"/>
      <c r="DIO56" s="245"/>
      <c r="DIP56" s="245"/>
      <c r="DIQ56" s="245"/>
      <c r="DIR56" s="245"/>
      <c r="DIS56" s="245"/>
      <c r="DIT56" s="245"/>
      <c r="DIU56" s="245"/>
      <c r="DIV56" s="245"/>
      <c r="DIW56" s="245"/>
      <c r="DIX56" s="245"/>
      <c r="DIY56" s="245"/>
      <c r="DIZ56" s="245"/>
      <c r="DJA56" s="245"/>
      <c r="DJB56" s="245"/>
      <c r="DJC56" s="245"/>
      <c r="DJD56" s="245"/>
      <c r="DJE56" s="245"/>
      <c r="DJF56" s="245"/>
      <c r="DJG56" s="245"/>
      <c r="DJH56" s="245"/>
      <c r="DJI56" s="245"/>
      <c r="DJJ56" s="245"/>
      <c r="DJK56" s="245"/>
      <c r="DJL56" s="245"/>
      <c r="DJM56" s="245"/>
      <c r="DJN56" s="245"/>
      <c r="DJO56" s="245"/>
      <c r="DJP56" s="245"/>
      <c r="DJQ56" s="245"/>
      <c r="DJR56" s="245"/>
      <c r="DJS56" s="245"/>
      <c r="DJT56" s="245"/>
      <c r="DJU56" s="245"/>
      <c r="DJV56" s="245"/>
      <c r="DJW56" s="245"/>
      <c r="DJX56" s="245"/>
      <c r="DJY56" s="245"/>
      <c r="DJZ56" s="245"/>
      <c r="DKA56" s="245"/>
      <c r="DKB56" s="245"/>
      <c r="DKC56" s="245"/>
      <c r="DKD56" s="245"/>
      <c r="DKE56" s="245"/>
      <c r="DKF56" s="245"/>
      <c r="DKG56" s="245"/>
      <c r="DKH56" s="245"/>
      <c r="DKI56" s="245"/>
      <c r="DKJ56" s="245"/>
      <c r="DKK56" s="245"/>
      <c r="DKL56" s="245"/>
      <c r="DKM56" s="245"/>
      <c r="DKN56" s="245"/>
      <c r="DKO56" s="245"/>
      <c r="DKP56" s="245"/>
      <c r="DKQ56" s="245"/>
      <c r="DKR56" s="245"/>
      <c r="DKS56" s="245"/>
      <c r="DKT56" s="245"/>
      <c r="DKU56" s="245"/>
      <c r="DKV56" s="245"/>
      <c r="DKW56" s="245"/>
      <c r="DKX56" s="245"/>
      <c r="DKY56" s="245"/>
      <c r="DKZ56" s="245"/>
      <c r="DLA56" s="245"/>
      <c r="DLB56" s="245"/>
      <c r="DLC56" s="245"/>
      <c r="DLD56" s="245"/>
      <c r="DLE56" s="245"/>
      <c r="DLF56" s="245"/>
      <c r="DLG56" s="245"/>
      <c r="DLH56" s="245"/>
      <c r="DLI56" s="245"/>
      <c r="DLJ56" s="245"/>
      <c r="DLK56" s="245"/>
      <c r="DLL56" s="245"/>
      <c r="DLM56" s="245"/>
      <c r="DLN56" s="245"/>
      <c r="DLO56" s="245"/>
      <c r="DLP56" s="245"/>
      <c r="DLQ56" s="245"/>
      <c r="DLR56" s="245"/>
      <c r="DLS56" s="245"/>
      <c r="DLT56" s="245"/>
      <c r="DLU56" s="245"/>
      <c r="DLV56" s="245"/>
      <c r="DLW56" s="245"/>
      <c r="DLX56" s="245"/>
      <c r="DLY56" s="245"/>
      <c r="DLZ56" s="245"/>
      <c r="DMA56" s="245"/>
      <c r="DMB56" s="245"/>
      <c r="DMC56" s="245"/>
      <c r="DMD56" s="245"/>
      <c r="DME56" s="245"/>
      <c r="DMF56" s="245"/>
      <c r="DMG56" s="245"/>
      <c r="DMH56" s="245"/>
      <c r="DMI56" s="245"/>
      <c r="DMJ56" s="245"/>
      <c r="DMK56" s="245"/>
      <c r="DML56" s="245"/>
      <c r="DMM56" s="245"/>
      <c r="DMN56" s="245"/>
      <c r="DMO56" s="245"/>
      <c r="DMP56" s="245"/>
      <c r="DMQ56" s="245"/>
      <c r="DMR56" s="245"/>
      <c r="DMS56" s="245"/>
      <c r="DMT56" s="245"/>
      <c r="DMU56" s="245"/>
      <c r="DMV56" s="245"/>
      <c r="DMW56" s="245"/>
      <c r="DMX56" s="245"/>
      <c r="DMY56" s="245"/>
      <c r="DMZ56" s="245"/>
      <c r="DNA56" s="245"/>
      <c r="DNB56" s="245"/>
      <c r="DNC56" s="245"/>
      <c r="DND56" s="245"/>
      <c r="DNE56" s="245"/>
      <c r="DNF56" s="245"/>
      <c r="DNG56" s="245"/>
      <c r="DNH56" s="245"/>
      <c r="DNI56" s="245"/>
      <c r="DNJ56" s="245"/>
      <c r="DNK56" s="245"/>
      <c r="DNL56" s="245"/>
      <c r="DNM56" s="245"/>
      <c r="DNN56" s="245"/>
      <c r="DNO56" s="245"/>
      <c r="DNP56" s="245"/>
      <c r="DNQ56" s="245"/>
      <c r="DNR56" s="245"/>
      <c r="DNS56" s="245"/>
      <c r="DNT56" s="245"/>
      <c r="DNU56" s="245"/>
      <c r="DNV56" s="245"/>
      <c r="DNW56" s="245"/>
      <c r="DNX56" s="245"/>
      <c r="DNY56" s="245"/>
      <c r="DNZ56" s="245"/>
      <c r="DOA56" s="245"/>
      <c r="DOB56" s="245"/>
      <c r="DOC56" s="245"/>
      <c r="DOD56" s="245"/>
      <c r="DOE56" s="245"/>
      <c r="DOF56" s="245"/>
      <c r="DOG56" s="245"/>
      <c r="DOH56" s="245"/>
      <c r="DOI56" s="245"/>
      <c r="DOJ56" s="245"/>
      <c r="DOK56" s="245"/>
      <c r="DOL56" s="245"/>
      <c r="DOM56" s="245"/>
      <c r="DON56" s="245"/>
      <c r="DOO56" s="245"/>
      <c r="DOP56" s="245"/>
      <c r="DOQ56" s="245"/>
      <c r="DOR56" s="245"/>
      <c r="DOS56" s="245"/>
      <c r="DOT56" s="245"/>
      <c r="DOU56" s="245"/>
      <c r="DOV56" s="245"/>
      <c r="DOW56" s="245"/>
      <c r="DOX56" s="245"/>
      <c r="DOY56" s="245"/>
      <c r="DOZ56" s="245"/>
      <c r="DPA56" s="245"/>
      <c r="DPB56" s="245"/>
      <c r="DPC56" s="245"/>
      <c r="DPD56" s="245"/>
      <c r="DPE56" s="245"/>
      <c r="DPF56" s="245"/>
      <c r="DPG56" s="245"/>
      <c r="DPH56" s="245"/>
      <c r="DPI56" s="245"/>
      <c r="DPJ56" s="245"/>
      <c r="DPK56" s="245"/>
      <c r="DPL56" s="245"/>
      <c r="DPM56" s="245"/>
      <c r="DPN56" s="245"/>
      <c r="DPO56" s="245"/>
      <c r="DPP56" s="245"/>
      <c r="DPQ56" s="245"/>
      <c r="DPR56" s="245"/>
      <c r="DPS56" s="245"/>
      <c r="DPT56" s="245"/>
      <c r="DPU56" s="245"/>
      <c r="DPV56" s="245"/>
      <c r="DPW56" s="245"/>
      <c r="DPX56" s="245"/>
      <c r="DPY56" s="245"/>
      <c r="DPZ56" s="245"/>
      <c r="DQA56" s="245"/>
      <c r="DQB56" s="245"/>
      <c r="DQC56" s="245"/>
      <c r="DQD56" s="245"/>
      <c r="DQE56" s="245"/>
      <c r="DQF56" s="245"/>
      <c r="DQG56" s="245"/>
      <c r="DQH56" s="245"/>
      <c r="DQI56" s="245"/>
      <c r="DQJ56" s="245"/>
      <c r="DQK56" s="245"/>
      <c r="DQL56" s="245"/>
      <c r="DQM56" s="245"/>
      <c r="DQN56" s="245"/>
      <c r="DQO56" s="245"/>
      <c r="DQP56" s="245"/>
      <c r="DQQ56" s="245"/>
      <c r="DQR56" s="245"/>
      <c r="DQS56" s="245"/>
      <c r="DQT56" s="245"/>
      <c r="DQU56" s="245"/>
      <c r="DQV56" s="245"/>
      <c r="DQW56" s="245"/>
      <c r="DQX56" s="245"/>
      <c r="DQY56" s="245"/>
      <c r="DQZ56" s="245"/>
      <c r="DRA56" s="245"/>
      <c r="DRB56" s="245"/>
      <c r="DRC56" s="245"/>
      <c r="DRD56" s="245"/>
      <c r="DRE56" s="245"/>
      <c r="DRF56" s="245"/>
      <c r="DRG56" s="245"/>
      <c r="DRH56" s="245"/>
      <c r="DRI56" s="245"/>
      <c r="DRJ56" s="245"/>
      <c r="DRK56" s="245"/>
      <c r="DRL56" s="245"/>
      <c r="DRM56" s="245"/>
      <c r="DRN56" s="245"/>
      <c r="DRO56" s="245"/>
      <c r="DRP56" s="245"/>
      <c r="DRQ56" s="245"/>
      <c r="DRR56" s="245"/>
      <c r="DRS56" s="245"/>
      <c r="DRT56" s="245"/>
      <c r="DRU56" s="245"/>
      <c r="DRV56" s="245"/>
      <c r="DRW56" s="245"/>
      <c r="DRX56" s="245"/>
      <c r="DRY56" s="245"/>
      <c r="DRZ56" s="245"/>
      <c r="DSA56" s="245"/>
      <c r="DSB56" s="245"/>
      <c r="DSC56" s="245"/>
      <c r="DSD56" s="245"/>
      <c r="DSE56" s="245"/>
      <c r="DSF56" s="245"/>
      <c r="DSG56" s="245"/>
      <c r="DSH56" s="245"/>
      <c r="DSI56" s="245"/>
      <c r="DSJ56" s="245"/>
      <c r="DSK56" s="245"/>
      <c r="DSL56" s="245"/>
      <c r="DSM56" s="245"/>
      <c r="DSN56" s="245"/>
      <c r="DSO56" s="245"/>
      <c r="DSP56" s="245"/>
      <c r="DSQ56" s="245"/>
      <c r="DSR56" s="245"/>
      <c r="DSS56" s="245"/>
      <c r="DST56" s="245"/>
      <c r="DSU56" s="245"/>
      <c r="DSV56" s="245"/>
      <c r="DSW56" s="245"/>
      <c r="DSX56" s="245"/>
      <c r="DSY56" s="245"/>
      <c r="DSZ56" s="245"/>
      <c r="DTA56" s="245"/>
      <c r="DTB56" s="245"/>
      <c r="DTC56" s="245"/>
      <c r="DTD56" s="245"/>
      <c r="DTE56" s="245"/>
      <c r="DTF56" s="245"/>
      <c r="DTG56" s="245"/>
      <c r="DTH56" s="245"/>
      <c r="DTI56" s="245"/>
      <c r="DTJ56" s="245"/>
      <c r="DTK56" s="245"/>
      <c r="DTL56" s="245"/>
      <c r="DTM56" s="245"/>
      <c r="DTN56" s="245"/>
      <c r="DTO56" s="245"/>
      <c r="DTP56" s="245"/>
      <c r="DTQ56" s="245"/>
      <c r="DTR56" s="245"/>
      <c r="DTS56" s="245"/>
      <c r="DTT56" s="245"/>
      <c r="DTU56" s="245"/>
      <c r="DTV56" s="245"/>
      <c r="DTW56" s="245"/>
      <c r="DTX56" s="245"/>
      <c r="DTY56" s="245"/>
      <c r="DTZ56" s="245"/>
      <c r="DUA56" s="245"/>
      <c r="DUB56" s="245"/>
      <c r="DUC56" s="245"/>
      <c r="DUD56" s="245"/>
      <c r="DUE56" s="245"/>
      <c r="DUF56" s="245"/>
      <c r="DUG56" s="245"/>
      <c r="DUH56" s="245"/>
      <c r="DUI56" s="245"/>
      <c r="DUJ56" s="245"/>
      <c r="DUK56" s="245"/>
      <c r="DUL56" s="245"/>
      <c r="DUM56" s="245"/>
      <c r="DUN56" s="245"/>
      <c r="DUO56" s="245"/>
      <c r="DUP56" s="245"/>
      <c r="DUQ56" s="245"/>
      <c r="DUR56" s="245"/>
      <c r="DUS56" s="245"/>
      <c r="DUT56" s="245"/>
      <c r="DUU56" s="245"/>
      <c r="DUV56" s="245"/>
      <c r="DUW56" s="245"/>
      <c r="DUX56" s="245"/>
      <c r="DUY56" s="245"/>
      <c r="DUZ56" s="245"/>
      <c r="DVA56" s="245"/>
      <c r="DVB56" s="245"/>
      <c r="DVC56" s="245"/>
      <c r="DVD56" s="245"/>
      <c r="DVE56" s="245"/>
      <c r="DVF56" s="245"/>
      <c r="DVG56" s="245"/>
      <c r="DVH56" s="245"/>
      <c r="DVI56" s="245"/>
      <c r="DVJ56" s="245"/>
      <c r="DVK56" s="245"/>
      <c r="DVL56" s="245"/>
      <c r="DVM56" s="245"/>
      <c r="DVN56" s="245"/>
      <c r="DVO56" s="245"/>
      <c r="DVP56" s="245"/>
      <c r="DVQ56" s="245"/>
      <c r="DVR56" s="245"/>
      <c r="DVS56" s="245"/>
      <c r="DVT56" s="245"/>
      <c r="DVU56" s="245"/>
      <c r="DVV56" s="245"/>
      <c r="DVW56" s="245"/>
      <c r="DVX56" s="245"/>
      <c r="DVY56" s="245"/>
      <c r="DVZ56" s="245"/>
      <c r="DWA56" s="245"/>
      <c r="DWB56" s="245"/>
      <c r="DWC56" s="245"/>
      <c r="DWD56" s="245"/>
      <c r="DWE56" s="245"/>
      <c r="DWF56" s="245"/>
      <c r="DWG56" s="245"/>
      <c r="DWH56" s="245"/>
      <c r="DWI56" s="245"/>
      <c r="DWJ56" s="245"/>
      <c r="DWK56" s="245"/>
      <c r="DWL56" s="245"/>
      <c r="DWM56" s="245"/>
      <c r="DWN56" s="245"/>
      <c r="DWO56" s="245"/>
      <c r="DWP56" s="245"/>
      <c r="DWQ56" s="245"/>
      <c r="DWR56" s="245"/>
      <c r="DWS56" s="245"/>
      <c r="DWT56" s="245"/>
      <c r="DWU56" s="245"/>
      <c r="DWV56" s="245"/>
      <c r="DWW56" s="245"/>
      <c r="DWX56" s="245"/>
      <c r="DWY56" s="245"/>
      <c r="DWZ56" s="245"/>
      <c r="DXA56" s="245"/>
      <c r="DXB56" s="245"/>
      <c r="DXC56" s="245"/>
      <c r="DXD56" s="245"/>
      <c r="DXE56" s="245"/>
      <c r="DXF56" s="245"/>
      <c r="DXG56" s="245"/>
      <c r="DXH56" s="245"/>
      <c r="DXI56" s="245"/>
      <c r="DXJ56" s="245"/>
      <c r="DXK56" s="245"/>
      <c r="DXL56" s="245"/>
      <c r="DXM56" s="245"/>
      <c r="DXN56" s="245"/>
      <c r="DXO56" s="245"/>
      <c r="DXP56" s="245"/>
      <c r="DXQ56" s="245"/>
      <c r="DXR56" s="245"/>
      <c r="DXS56" s="245"/>
      <c r="DXT56" s="245"/>
      <c r="DXU56" s="245"/>
      <c r="DXV56" s="245"/>
      <c r="DXW56" s="245"/>
      <c r="DXX56" s="245"/>
      <c r="DXY56" s="245"/>
      <c r="DXZ56" s="245"/>
      <c r="DYA56" s="245"/>
      <c r="DYB56" s="245"/>
      <c r="DYC56" s="245"/>
      <c r="DYD56" s="245"/>
      <c r="DYE56" s="245"/>
      <c r="DYF56" s="245"/>
      <c r="DYG56" s="245"/>
      <c r="DYH56" s="245"/>
      <c r="DYI56" s="245"/>
      <c r="DYJ56" s="245"/>
      <c r="DYK56" s="245"/>
      <c r="DYL56" s="245"/>
      <c r="DYM56" s="245"/>
      <c r="DYN56" s="245"/>
      <c r="DYO56" s="245"/>
      <c r="DYP56" s="245"/>
      <c r="DYQ56" s="245"/>
      <c r="DYR56" s="245"/>
      <c r="DYS56" s="245"/>
      <c r="DYT56" s="245"/>
      <c r="DYU56" s="245"/>
      <c r="DYV56" s="245"/>
      <c r="DYW56" s="245"/>
      <c r="DYX56" s="245"/>
      <c r="DYY56" s="245"/>
      <c r="DYZ56" s="245"/>
      <c r="DZA56" s="245"/>
      <c r="DZB56" s="245"/>
      <c r="DZC56" s="245"/>
      <c r="DZD56" s="245"/>
      <c r="DZE56" s="245"/>
      <c r="DZF56" s="245"/>
      <c r="DZG56" s="245"/>
      <c r="DZH56" s="245"/>
      <c r="DZI56" s="245"/>
      <c r="DZJ56" s="245"/>
      <c r="DZK56" s="245"/>
      <c r="DZL56" s="245"/>
      <c r="DZM56" s="245"/>
      <c r="DZN56" s="245"/>
      <c r="DZO56" s="245"/>
      <c r="DZP56" s="245"/>
      <c r="DZQ56" s="245"/>
      <c r="DZR56" s="245"/>
      <c r="DZS56" s="245"/>
      <c r="DZT56" s="245"/>
      <c r="DZU56" s="245"/>
      <c r="DZV56" s="245"/>
      <c r="DZW56" s="245"/>
      <c r="DZX56" s="245"/>
      <c r="DZY56" s="245"/>
      <c r="DZZ56" s="245"/>
      <c r="EAA56" s="245"/>
      <c r="EAB56" s="245"/>
      <c r="EAC56" s="245"/>
      <c r="EAD56" s="245"/>
      <c r="EAE56" s="245"/>
      <c r="EAF56" s="245"/>
      <c r="EAG56" s="245"/>
      <c r="EAH56" s="245"/>
      <c r="EAI56" s="245"/>
      <c r="EAJ56" s="245"/>
      <c r="EAK56" s="245"/>
      <c r="EAL56" s="245"/>
      <c r="EAM56" s="245"/>
      <c r="EAN56" s="245"/>
      <c r="EAO56" s="245"/>
      <c r="EAP56" s="245"/>
      <c r="EAQ56" s="245"/>
      <c r="EAR56" s="245"/>
      <c r="EAS56" s="245"/>
      <c r="EAT56" s="245"/>
      <c r="EAU56" s="245"/>
      <c r="EAV56" s="245"/>
      <c r="EAW56" s="245"/>
      <c r="EAX56" s="245"/>
      <c r="EAY56" s="245"/>
      <c r="EAZ56" s="245"/>
      <c r="EBA56" s="245"/>
      <c r="EBB56" s="245"/>
      <c r="EBC56" s="245"/>
      <c r="EBD56" s="245"/>
      <c r="EBE56" s="245"/>
      <c r="EBF56" s="245"/>
      <c r="EBG56" s="245"/>
      <c r="EBH56" s="245"/>
      <c r="EBI56" s="245"/>
      <c r="EBJ56" s="245"/>
      <c r="EBK56" s="245"/>
      <c r="EBL56" s="245"/>
      <c r="EBM56" s="245"/>
      <c r="EBN56" s="245"/>
      <c r="EBO56" s="245"/>
      <c r="EBP56" s="245"/>
      <c r="EBQ56" s="245"/>
      <c r="EBR56" s="245"/>
      <c r="EBS56" s="245"/>
      <c r="EBT56" s="245"/>
      <c r="EBU56" s="245"/>
      <c r="EBV56" s="245"/>
      <c r="EBW56" s="245"/>
      <c r="EBX56" s="245"/>
      <c r="EBY56" s="245"/>
      <c r="EBZ56" s="245"/>
      <c r="ECA56" s="245"/>
      <c r="ECB56" s="245"/>
      <c r="ECC56" s="245"/>
      <c r="ECD56" s="245"/>
      <c r="ECE56" s="245"/>
      <c r="ECF56" s="245"/>
      <c r="ECG56" s="245"/>
      <c r="ECH56" s="245"/>
      <c r="ECI56" s="245"/>
      <c r="ECJ56" s="245"/>
      <c r="ECK56" s="245"/>
      <c r="ECL56" s="245"/>
      <c r="ECM56" s="245"/>
      <c r="ECN56" s="245"/>
      <c r="ECO56" s="245"/>
      <c r="ECP56" s="245"/>
      <c r="ECQ56" s="245"/>
      <c r="ECR56" s="245"/>
      <c r="ECS56" s="245"/>
      <c r="ECT56" s="245"/>
      <c r="ECU56" s="245"/>
      <c r="ECV56" s="245"/>
      <c r="ECW56" s="245"/>
      <c r="ECX56" s="245"/>
      <c r="ECY56" s="245"/>
      <c r="ECZ56" s="245"/>
      <c r="EDA56" s="245"/>
      <c r="EDB56" s="245"/>
      <c r="EDC56" s="245"/>
      <c r="EDD56" s="245"/>
      <c r="EDE56" s="245"/>
      <c r="EDF56" s="245"/>
      <c r="EDG56" s="245"/>
      <c r="EDH56" s="245"/>
      <c r="EDI56" s="245"/>
      <c r="EDJ56" s="245"/>
      <c r="EDK56" s="245"/>
      <c r="EDL56" s="245"/>
      <c r="EDM56" s="245"/>
      <c r="EDN56" s="245"/>
      <c r="EDO56" s="245"/>
      <c r="EDP56" s="245"/>
      <c r="EDQ56" s="245"/>
      <c r="EDR56" s="245"/>
      <c r="EDS56" s="245"/>
      <c r="EDT56" s="245"/>
      <c r="EDU56" s="245"/>
      <c r="EDV56" s="245"/>
      <c r="EDW56" s="245"/>
      <c r="EDX56" s="245"/>
      <c r="EDY56" s="245"/>
      <c r="EDZ56" s="245"/>
      <c r="EEA56" s="245"/>
      <c r="EEB56" s="245"/>
      <c r="EEC56" s="245"/>
      <c r="EED56" s="245"/>
      <c r="EEE56" s="245"/>
      <c r="EEF56" s="245"/>
      <c r="EEG56" s="245"/>
      <c r="EEH56" s="245"/>
      <c r="EEI56" s="245"/>
      <c r="EEJ56" s="245"/>
      <c r="EEK56" s="245"/>
      <c r="EEL56" s="245"/>
      <c r="EEM56" s="245"/>
      <c r="EEN56" s="245"/>
      <c r="EEO56" s="245"/>
      <c r="EEP56" s="245"/>
      <c r="EEQ56" s="245"/>
      <c r="EER56" s="245"/>
      <c r="EES56" s="245"/>
      <c r="EET56" s="245"/>
      <c r="EEU56" s="245"/>
      <c r="EEV56" s="245"/>
      <c r="EEW56" s="245"/>
      <c r="EEX56" s="245"/>
      <c r="EEY56" s="245"/>
      <c r="EEZ56" s="245"/>
      <c r="EFA56" s="245"/>
      <c r="EFB56" s="245"/>
      <c r="EFC56" s="245"/>
      <c r="EFD56" s="245"/>
      <c r="EFE56" s="245"/>
      <c r="EFF56" s="245"/>
      <c r="EFG56" s="245"/>
      <c r="EFH56" s="245"/>
      <c r="EFI56" s="245"/>
      <c r="EFJ56" s="245"/>
      <c r="EFK56" s="245"/>
      <c r="EFL56" s="245"/>
      <c r="EFM56" s="245"/>
      <c r="EFN56" s="245"/>
      <c r="EFO56" s="245"/>
      <c r="EFP56" s="245"/>
      <c r="EFQ56" s="245"/>
      <c r="EFR56" s="245"/>
      <c r="EFS56" s="245"/>
      <c r="EFT56" s="245"/>
      <c r="EFU56" s="245"/>
      <c r="EFV56" s="245"/>
      <c r="EFW56" s="245"/>
      <c r="EFX56" s="245"/>
      <c r="EFY56" s="245"/>
      <c r="EFZ56" s="245"/>
      <c r="EGA56" s="245"/>
      <c r="EGB56" s="245"/>
      <c r="EGC56" s="245"/>
      <c r="EGD56" s="245"/>
      <c r="EGE56" s="245"/>
      <c r="EGF56" s="245"/>
      <c r="EGG56" s="245"/>
      <c r="EGH56" s="245"/>
      <c r="EGI56" s="245"/>
      <c r="EGJ56" s="245"/>
      <c r="EGK56" s="245"/>
      <c r="EGL56" s="245"/>
      <c r="EGM56" s="245"/>
      <c r="EGN56" s="245"/>
      <c r="EGO56" s="245"/>
      <c r="EGP56" s="245"/>
      <c r="EGQ56" s="245"/>
      <c r="EGR56" s="245"/>
      <c r="EGS56" s="245"/>
      <c r="EGT56" s="245"/>
      <c r="EGU56" s="245"/>
      <c r="EGV56" s="245"/>
      <c r="EGW56" s="245"/>
      <c r="EGX56" s="245"/>
      <c r="EGY56" s="245"/>
      <c r="EGZ56" s="245"/>
      <c r="EHA56" s="245"/>
      <c r="EHB56" s="245"/>
      <c r="EHC56" s="245"/>
      <c r="EHD56" s="245"/>
      <c r="EHE56" s="245"/>
      <c r="EHF56" s="245"/>
      <c r="EHG56" s="245"/>
      <c r="EHH56" s="245"/>
      <c r="EHI56" s="245"/>
      <c r="EHJ56" s="245"/>
      <c r="EHK56" s="245"/>
      <c r="EHL56" s="245"/>
      <c r="EHM56" s="245"/>
      <c r="EHN56" s="245"/>
      <c r="EHO56" s="245"/>
      <c r="EHP56" s="245"/>
      <c r="EHQ56" s="245"/>
      <c r="EHR56" s="245"/>
      <c r="EHS56" s="245"/>
      <c r="EHT56" s="245"/>
      <c r="EHU56" s="245"/>
      <c r="EHV56" s="245"/>
      <c r="EHW56" s="245"/>
      <c r="EHX56" s="245"/>
      <c r="EHY56" s="245"/>
      <c r="EHZ56" s="245"/>
      <c r="EIA56" s="245"/>
      <c r="EIB56" s="245"/>
      <c r="EIC56" s="245"/>
      <c r="EID56" s="245"/>
      <c r="EIE56" s="245"/>
      <c r="EIF56" s="245"/>
      <c r="EIG56" s="245"/>
      <c r="EIH56" s="245"/>
      <c r="EII56" s="245"/>
      <c r="EIJ56" s="245"/>
      <c r="EIK56" s="245"/>
      <c r="EIL56" s="245"/>
      <c r="EIM56" s="245"/>
      <c r="EIN56" s="245"/>
      <c r="EIO56" s="245"/>
      <c r="EIP56" s="245"/>
      <c r="EIQ56" s="245"/>
      <c r="EIR56" s="245"/>
      <c r="EIS56" s="245"/>
      <c r="EIT56" s="245"/>
      <c r="EIU56" s="245"/>
      <c r="EIV56" s="245"/>
      <c r="EIW56" s="245"/>
      <c r="EIX56" s="245"/>
      <c r="EIY56" s="245"/>
      <c r="EIZ56" s="245"/>
      <c r="EJA56" s="245"/>
      <c r="EJB56" s="245"/>
      <c r="EJC56" s="245"/>
      <c r="EJD56" s="245"/>
      <c r="EJE56" s="245"/>
      <c r="EJF56" s="245"/>
      <c r="EJG56" s="245"/>
      <c r="EJH56" s="245"/>
      <c r="EJI56" s="245"/>
      <c r="EJJ56" s="245"/>
      <c r="EJK56" s="245"/>
      <c r="EJL56" s="245"/>
      <c r="EJM56" s="245"/>
      <c r="EJN56" s="245"/>
      <c r="EJO56" s="245"/>
      <c r="EJP56" s="245"/>
      <c r="EJQ56" s="245"/>
      <c r="EJR56" s="245"/>
      <c r="EJS56" s="245"/>
      <c r="EJT56" s="245"/>
      <c r="EJU56" s="245"/>
      <c r="EJV56" s="245"/>
      <c r="EJW56" s="245"/>
      <c r="EJX56" s="245"/>
      <c r="EJY56" s="245"/>
      <c r="EJZ56" s="245"/>
      <c r="EKA56" s="245"/>
      <c r="EKB56" s="245"/>
      <c r="EKC56" s="245"/>
      <c r="EKD56" s="245"/>
      <c r="EKE56" s="245"/>
      <c r="EKF56" s="245"/>
      <c r="EKG56" s="245"/>
      <c r="EKH56" s="245"/>
      <c r="EKI56" s="245"/>
      <c r="EKJ56" s="245"/>
      <c r="EKK56" s="245"/>
      <c r="EKL56" s="245"/>
      <c r="EKM56" s="245"/>
      <c r="EKN56" s="245"/>
      <c r="EKO56" s="245"/>
      <c r="EKP56" s="245"/>
      <c r="EKQ56" s="245"/>
      <c r="EKR56" s="245"/>
      <c r="EKS56" s="245"/>
      <c r="EKT56" s="245"/>
      <c r="EKU56" s="245"/>
      <c r="EKV56" s="245"/>
      <c r="EKW56" s="245"/>
      <c r="EKX56" s="245"/>
      <c r="EKY56" s="245"/>
      <c r="EKZ56" s="245"/>
      <c r="ELA56" s="245"/>
      <c r="ELB56" s="245"/>
      <c r="ELC56" s="245"/>
      <c r="ELD56" s="245"/>
      <c r="ELE56" s="245"/>
      <c r="ELF56" s="245"/>
      <c r="ELG56" s="245"/>
      <c r="ELH56" s="245"/>
      <c r="ELI56" s="245"/>
      <c r="ELJ56" s="245"/>
      <c r="ELK56" s="245"/>
      <c r="ELL56" s="245"/>
      <c r="ELM56" s="245"/>
      <c r="ELN56" s="245"/>
      <c r="ELO56" s="245"/>
      <c r="ELP56" s="245"/>
      <c r="ELQ56" s="245"/>
      <c r="ELR56" s="245"/>
      <c r="ELS56" s="245"/>
      <c r="ELT56" s="245"/>
      <c r="ELU56" s="245"/>
      <c r="ELV56" s="245"/>
      <c r="ELW56" s="245"/>
      <c r="ELX56" s="245"/>
      <c r="ELY56" s="245"/>
      <c r="ELZ56" s="245"/>
      <c r="EMA56" s="245"/>
      <c r="EMB56" s="245"/>
      <c r="EMC56" s="245"/>
      <c r="EMD56" s="245"/>
      <c r="EME56" s="245"/>
      <c r="EMF56" s="245"/>
      <c r="EMG56" s="245"/>
      <c r="EMH56" s="245"/>
      <c r="EMI56" s="245"/>
      <c r="EMJ56" s="245"/>
      <c r="EMK56" s="245"/>
      <c r="EML56" s="245"/>
      <c r="EMM56" s="245"/>
      <c r="EMN56" s="245"/>
      <c r="EMO56" s="245"/>
      <c r="EMP56" s="245"/>
      <c r="EMQ56" s="245"/>
      <c r="EMR56" s="245"/>
      <c r="EMS56" s="245"/>
      <c r="EMT56" s="245"/>
      <c r="EMU56" s="245"/>
      <c r="EMV56" s="245"/>
      <c r="EMW56" s="245"/>
      <c r="EMX56" s="245"/>
      <c r="EMY56" s="245"/>
      <c r="EMZ56" s="245"/>
      <c r="ENA56" s="245"/>
      <c r="ENB56" s="245"/>
      <c r="ENC56" s="245"/>
      <c r="END56" s="245"/>
      <c r="ENE56" s="245"/>
      <c r="ENF56" s="245"/>
      <c r="ENG56" s="245"/>
      <c r="ENH56" s="245"/>
      <c r="ENI56" s="245"/>
      <c r="ENJ56" s="245"/>
      <c r="ENK56" s="245"/>
      <c r="ENL56" s="245"/>
      <c r="ENM56" s="245"/>
      <c r="ENN56" s="245"/>
      <c r="ENO56" s="245"/>
      <c r="ENP56" s="245"/>
      <c r="ENQ56" s="245"/>
      <c r="ENR56" s="245"/>
      <c r="ENS56" s="245"/>
      <c r="ENT56" s="245"/>
      <c r="ENU56" s="245"/>
      <c r="ENV56" s="245"/>
      <c r="ENW56" s="245"/>
      <c r="ENX56" s="245"/>
      <c r="ENY56" s="245"/>
      <c r="ENZ56" s="245"/>
      <c r="EOA56" s="245"/>
      <c r="EOB56" s="245"/>
      <c r="EOC56" s="245"/>
      <c r="EOD56" s="245"/>
      <c r="EOE56" s="245"/>
      <c r="EOF56" s="245"/>
      <c r="EOG56" s="245"/>
      <c r="EOH56" s="245"/>
      <c r="EOI56" s="245"/>
      <c r="EOJ56" s="245"/>
      <c r="EOK56" s="245"/>
      <c r="EOL56" s="245"/>
      <c r="EOM56" s="245"/>
      <c r="EON56" s="245"/>
      <c r="EOO56" s="245"/>
      <c r="EOP56" s="245"/>
      <c r="EOQ56" s="245"/>
      <c r="EOR56" s="245"/>
      <c r="EOS56" s="245"/>
      <c r="EOT56" s="245"/>
      <c r="EOU56" s="245"/>
      <c r="EOV56" s="245"/>
      <c r="EOW56" s="245"/>
      <c r="EOX56" s="245"/>
      <c r="EOY56" s="245"/>
      <c r="EOZ56" s="245"/>
      <c r="EPA56" s="245"/>
      <c r="EPB56" s="245"/>
      <c r="EPC56" s="245"/>
      <c r="EPD56" s="245"/>
      <c r="EPE56" s="245"/>
      <c r="EPF56" s="245"/>
      <c r="EPG56" s="245"/>
      <c r="EPH56" s="245"/>
      <c r="EPI56" s="245"/>
      <c r="EPJ56" s="245"/>
      <c r="EPK56" s="245"/>
      <c r="EPL56" s="245"/>
      <c r="EPM56" s="245"/>
      <c r="EPN56" s="245"/>
      <c r="EPO56" s="245"/>
      <c r="EPP56" s="245"/>
      <c r="EPQ56" s="245"/>
      <c r="EPR56" s="245"/>
      <c r="EPS56" s="245"/>
      <c r="EPT56" s="245"/>
      <c r="EPU56" s="245"/>
      <c r="EPV56" s="245"/>
      <c r="EPW56" s="245"/>
      <c r="EPX56" s="245"/>
      <c r="EPY56" s="245"/>
      <c r="EPZ56" s="245"/>
      <c r="EQA56" s="245"/>
      <c r="EQB56" s="245"/>
      <c r="EQC56" s="245"/>
      <c r="EQD56" s="245"/>
      <c r="EQE56" s="245"/>
      <c r="EQF56" s="245"/>
      <c r="EQG56" s="245"/>
      <c r="EQH56" s="245"/>
      <c r="EQI56" s="245"/>
      <c r="EQJ56" s="245"/>
      <c r="EQK56" s="245"/>
      <c r="EQL56" s="245"/>
      <c r="EQM56" s="245"/>
      <c r="EQN56" s="245"/>
      <c r="EQO56" s="245"/>
      <c r="EQP56" s="245"/>
      <c r="EQQ56" s="245"/>
      <c r="EQR56" s="245"/>
      <c r="EQS56" s="245"/>
      <c r="EQT56" s="245"/>
      <c r="EQU56" s="245"/>
      <c r="EQV56" s="245"/>
      <c r="EQW56" s="245"/>
      <c r="EQX56" s="245"/>
      <c r="EQY56" s="245"/>
      <c r="EQZ56" s="245"/>
      <c r="ERA56" s="245"/>
      <c r="ERB56" s="245"/>
      <c r="ERC56" s="245"/>
      <c r="ERD56" s="245"/>
      <c r="ERE56" s="245"/>
      <c r="ERF56" s="245"/>
      <c r="ERG56" s="245"/>
      <c r="ERH56" s="245"/>
      <c r="ERI56" s="245"/>
      <c r="ERJ56" s="245"/>
      <c r="ERK56" s="245"/>
      <c r="ERL56" s="245"/>
      <c r="ERM56" s="245"/>
      <c r="ERN56" s="245"/>
      <c r="ERO56" s="245"/>
      <c r="ERP56" s="245"/>
      <c r="ERQ56" s="245"/>
      <c r="ERR56" s="245"/>
      <c r="ERS56" s="245"/>
      <c r="ERT56" s="245"/>
      <c r="ERU56" s="245"/>
      <c r="ERV56" s="245"/>
      <c r="ERW56" s="245"/>
      <c r="ERX56" s="245"/>
      <c r="ERY56" s="245"/>
      <c r="ERZ56" s="245"/>
      <c r="ESA56" s="245"/>
      <c r="ESB56" s="245"/>
      <c r="ESC56" s="245"/>
      <c r="ESD56" s="245"/>
      <c r="ESE56" s="245"/>
      <c r="ESF56" s="245"/>
      <c r="ESG56" s="245"/>
      <c r="ESH56" s="245"/>
      <c r="ESI56" s="245"/>
      <c r="ESJ56" s="245"/>
      <c r="ESK56" s="245"/>
      <c r="ESL56" s="245"/>
      <c r="ESM56" s="245"/>
      <c r="ESN56" s="245"/>
      <c r="ESO56" s="245"/>
      <c r="ESP56" s="245"/>
      <c r="ESQ56" s="245"/>
      <c r="ESR56" s="245"/>
      <c r="ESS56" s="245"/>
      <c r="EST56" s="245"/>
      <c r="ESU56" s="245"/>
      <c r="ESV56" s="245"/>
      <c r="ESW56" s="245"/>
      <c r="ESX56" s="245"/>
      <c r="ESY56" s="245"/>
      <c r="ESZ56" s="245"/>
      <c r="ETA56" s="245"/>
      <c r="ETB56" s="245"/>
      <c r="ETC56" s="245"/>
      <c r="ETD56" s="245"/>
      <c r="ETE56" s="245"/>
      <c r="ETF56" s="245"/>
      <c r="ETG56" s="245"/>
      <c r="ETH56" s="245"/>
      <c r="ETI56" s="245"/>
      <c r="ETJ56" s="245"/>
      <c r="ETK56" s="245"/>
      <c r="ETL56" s="245"/>
      <c r="ETM56" s="245"/>
      <c r="ETN56" s="245"/>
      <c r="ETO56" s="245"/>
      <c r="ETP56" s="245"/>
      <c r="ETQ56" s="245"/>
      <c r="ETR56" s="245"/>
      <c r="ETS56" s="245"/>
      <c r="ETT56" s="245"/>
      <c r="ETU56" s="245"/>
      <c r="ETV56" s="245"/>
      <c r="ETW56" s="245"/>
      <c r="ETX56" s="245"/>
      <c r="ETY56" s="245"/>
      <c r="ETZ56" s="245"/>
      <c r="EUA56" s="245"/>
      <c r="EUB56" s="245"/>
      <c r="EUC56" s="245"/>
      <c r="EUD56" s="245"/>
      <c r="EUE56" s="245"/>
      <c r="EUF56" s="245"/>
      <c r="EUG56" s="245"/>
      <c r="EUH56" s="245"/>
      <c r="EUI56" s="245"/>
      <c r="EUJ56" s="245"/>
      <c r="EUK56" s="245"/>
      <c r="EUL56" s="245"/>
      <c r="EUM56" s="245"/>
      <c r="EUN56" s="245"/>
      <c r="EUO56" s="245"/>
      <c r="EUP56" s="245"/>
      <c r="EUQ56" s="245"/>
      <c r="EUR56" s="245"/>
      <c r="EUS56" s="245"/>
      <c r="EUT56" s="245"/>
      <c r="EUU56" s="245"/>
      <c r="EUV56" s="245"/>
      <c r="EUW56" s="245"/>
      <c r="EUX56" s="245"/>
      <c r="EUY56" s="245"/>
      <c r="EUZ56" s="245"/>
      <c r="EVA56" s="245"/>
      <c r="EVB56" s="245"/>
      <c r="EVC56" s="245"/>
      <c r="EVD56" s="245"/>
      <c r="EVE56" s="245"/>
      <c r="EVF56" s="245"/>
      <c r="EVG56" s="245"/>
      <c r="EVH56" s="245"/>
      <c r="EVI56" s="245"/>
      <c r="EVJ56" s="245"/>
      <c r="EVK56" s="245"/>
      <c r="EVL56" s="245"/>
      <c r="EVM56" s="245"/>
      <c r="EVN56" s="245"/>
      <c r="EVO56" s="245"/>
      <c r="EVP56" s="245"/>
      <c r="EVQ56" s="245"/>
      <c r="EVR56" s="245"/>
      <c r="EVS56" s="245"/>
      <c r="EVT56" s="245"/>
      <c r="EVU56" s="245"/>
      <c r="EVV56" s="245"/>
      <c r="EVW56" s="245"/>
      <c r="EVX56" s="245"/>
      <c r="EVY56" s="245"/>
      <c r="EVZ56" s="245"/>
      <c r="EWA56" s="245"/>
      <c r="EWB56" s="245"/>
      <c r="EWC56" s="245"/>
      <c r="EWD56" s="245"/>
      <c r="EWE56" s="245"/>
      <c r="EWF56" s="245"/>
      <c r="EWG56" s="245"/>
      <c r="EWH56" s="245"/>
      <c r="EWI56" s="245"/>
      <c r="EWJ56" s="245"/>
      <c r="EWK56" s="245"/>
      <c r="EWL56" s="245"/>
      <c r="EWM56" s="245"/>
      <c r="EWN56" s="245"/>
      <c r="EWO56" s="245"/>
      <c r="EWP56" s="245"/>
      <c r="EWQ56" s="245"/>
      <c r="EWR56" s="245"/>
      <c r="EWS56" s="245"/>
      <c r="EWT56" s="245"/>
      <c r="EWU56" s="245"/>
      <c r="EWV56" s="245"/>
      <c r="EWW56" s="245"/>
      <c r="EWX56" s="245"/>
      <c r="EWY56" s="245"/>
      <c r="EWZ56" s="245"/>
      <c r="EXA56" s="245"/>
      <c r="EXB56" s="245"/>
      <c r="EXC56" s="245"/>
      <c r="EXD56" s="245"/>
      <c r="EXE56" s="245"/>
      <c r="EXF56" s="245"/>
      <c r="EXG56" s="245"/>
      <c r="EXH56" s="245"/>
      <c r="EXI56" s="245"/>
      <c r="EXJ56" s="245"/>
      <c r="EXK56" s="245"/>
      <c r="EXL56" s="245"/>
      <c r="EXM56" s="245"/>
      <c r="EXN56" s="245"/>
      <c r="EXO56" s="245"/>
      <c r="EXP56" s="245"/>
      <c r="EXQ56" s="245"/>
      <c r="EXR56" s="245"/>
      <c r="EXS56" s="245"/>
      <c r="EXT56" s="245"/>
      <c r="EXU56" s="245"/>
      <c r="EXV56" s="245"/>
      <c r="EXW56" s="245"/>
      <c r="EXX56" s="245"/>
      <c r="EXY56" s="245"/>
      <c r="EXZ56" s="245"/>
      <c r="EYA56" s="245"/>
      <c r="EYB56" s="245"/>
      <c r="EYC56" s="245"/>
      <c r="EYD56" s="245"/>
      <c r="EYE56" s="245"/>
      <c r="EYF56" s="245"/>
      <c r="EYG56" s="245"/>
      <c r="EYH56" s="245"/>
      <c r="EYI56" s="245"/>
      <c r="EYJ56" s="245"/>
      <c r="EYK56" s="245"/>
      <c r="EYL56" s="245"/>
      <c r="EYM56" s="245"/>
      <c r="EYN56" s="245"/>
      <c r="EYO56" s="245"/>
      <c r="EYP56" s="245"/>
      <c r="EYQ56" s="245"/>
      <c r="EYR56" s="245"/>
      <c r="EYS56" s="245"/>
      <c r="EYT56" s="245"/>
      <c r="EYU56" s="245"/>
      <c r="EYV56" s="245"/>
      <c r="EYW56" s="245"/>
      <c r="EYX56" s="245"/>
      <c r="EYY56" s="245"/>
      <c r="EYZ56" s="245"/>
      <c r="EZA56" s="245"/>
      <c r="EZB56" s="245"/>
      <c r="EZC56" s="245"/>
      <c r="EZD56" s="245"/>
      <c r="EZE56" s="245"/>
      <c r="EZF56" s="245"/>
      <c r="EZG56" s="245"/>
      <c r="EZH56" s="245"/>
      <c r="EZI56" s="245"/>
      <c r="EZJ56" s="245"/>
      <c r="EZK56" s="245"/>
      <c r="EZL56" s="245"/>
      <c r="EZM56" s="245"/>
      <c r="EZN56" s="245"/>
      <c r="EZO56" s="245"/>
      <c r="EZP56" s="245"/>
      <c r="EZQ56" s="245"/>
      <c r="EZR56" s="245"/>
      <c r="EZS56" s="245"/>
      <c r="EZT56" s="245"/>
      <c r="EZU56" s="245"/>
      <c r="EZV56" s="245"/>
      <c r="EZW56" s="245"/>
      <c r="EZX56" s="245"/>
      <c r="EZY56" s="245"/>
      <c r="EZZ56" s="245"/>
      <c r="FAA56" s="245"/>
      <c r="FAB56" s="245"/>
      <c r="FAC56" s="245"/>
      <c r="FAD56" s="245"/>
      <c r="FAE56" s="245"/>
      <c r="FAF56" s="245"/>
      <c r="FAG56" s="245"/>
      <c r="FAH56" s="245"/>
      <c r="FAI56" s="245"/>
      <c r="FAJ56" s="245"/>
      <c r="FAK56" s="245"/>
      <c r="FAL56" s="245"/>
      <c r="FAM56" s="245"/>
      <c r="FAN56" s="245"/>
      <c r="FAO56" s="245"/>
      <c r="FAP56" s="245"/>
      <c r="FAQ56" s="245"/>
      <c r="FAR56" s="245"/>
      <c r="FAS56" s="245"/>
      <c r="FAT56" s="245"/>
      <c r="FAU56" s="245"/>
      <c r="FAV56" s="245"/>
      <c r="FAW56" s="245"/>
      <c r="FAX56" s="245"/>
      <c r="FAY56" s="245"/>
      <c r="FAZ56" s="245"/>
      <c r="FBA56" s="245"/>
      <c r="FBB56" s="245"/>
      <c r="FBC56" s="245"/>
      <c r="FBD56" s="245"/>
      <c r="FBE56" s="245"/>
      <c r="FBF56" s="245"/>
      <c r="FBG56" s="245"/>
      <c r="FBH56" s="245"/>
      <c r="FBI56" s="245"/>
      <c r="FBJ56" s="245"/>
      <c r="FBK56" s="245"/>
      <c r="FBL56" s="245"/>
      <c r="FBM56" s="245"/>
      <c r="FBN56" s="245"/>
      <c r="FBO56" s="245"/>
      <c r="FBP56" s="245"/>
      <c r="FBQ56" s="245"/>
      <c r="FBR56" s="245"/>
      <c r="FBS56" s="245"/>
      <c r="FBT56" s="245"/>
      <c r="FBU56" s="245"/>
      <c r="FBV56" s="245"/>
      <c r="FBW56" s="245"/>
      <c r="FBX56" s="245"/>
      <c r="FBY56" s="245"/>
      <c r="FBZ56" s="245"/>
      <c r="FCA56" s="245"/>
      <c r="FCB56" s="245"/>
      <c r="FCC56" s="245"/>
      <c r="FCD56" s="245"/>
      <c r="FCE56" s="245"/>
      <c r="FCF56" s="245"/>
      <c r="FCG56" s="245"/>
      <c r="FCH56" s="245"/>
      <c r="FCI56" s="245"/>
      <c r="FCJ56" s="245"/>
      <c r="FCK56" s="245"/>
      <c r="FCL56" s="245"/>
      <c r="FCM56" s="245"/>
      <c r="FCN56" s="245"/>
      <c r="FCO56" s="245"/>
      <c r="FCP56" s="245"/>
      <c r="FCQ56" s="245"/>
      <c r="FCR56" s="245"/>
      <c r="FCS56" s="245"/>
      <c r="FCT56" s="245"/>
      <c r="FCU56" s="245"/>
      <c r="FCV56" s="245"/>
      <c r="FCW56" s="245"/>
      <c r="FCX56" s="245"/>
      <c r="FCY56" s="245"/>
      <c r="FCZ56" s="245"/>
      <c r="FDA56" s="245"/>
      <c r="FDB56" s="245"/>
      <c r="FDC56" s="245"/>
      <c r="FDD56" s="245"/>
      <c r="FDE56" s="245"/>
      <c r="FDF56" s="245"/>
      <c r="FDG56" s="245"/>
      <c r="FDH56" s="245"/>
      <c r="FDI56" s="245"/>
      <c r="FDJ56" s="245"/>
      <c r="FDK56" s="245"/>
      <c r="FDL56" s="245"/>
      <c r="FDM56" s="245"/>
      <c r="FDN56" s="245"/>
      <c r="FDO56" s="245"/>
      <c r="FDP56" s="245"/>
      <c r="FDQ56" s="245"/>
      <c r="FDR56" s="245"/>
      <c r="FDS56" s="245"/>
      <c r="FDT56" s="245"/>
      <c r="FDU56" s="245"/>
      <c r="FDV56" s="245"/>
      <c r="FDW56" s="245"/>
      <c r="FDX56" s="245"/>
      <c r="FDY56" s="245"/>
      <c r="FDZ56" s="245"/>
      <c r="FEA56" s="245"/>
      <c r="FEB56" s="245"/>
      <c r="FEC56" s="245"/>
      <c r="FED56" s="245"/>
      <c r="FEE56" s="245"/>
      <c r="FEF56" s="245"/>
      <c r="FEG56" s="245"/>
      <c r="FEH56" s="245"/>
      <c r="FEI56" s="245"/>
      <c r="FEJ56" s="245"/>
      <c r="FEK56" s="245"/>
      <c r="FEL56" s="245"/>
      <c r="FEM56" s="245"/>
      <c r="FEN56" s="245"/>
      <c r="FEO56" s="245"/>
      <c r="FEP56" s="245"/>
      <c r="FEQ56" s="245"/>
      <c r="FER56" s="245"/>
      <c r="FES56" s="245"/>
      <c r="FET56" s="245"/>
      <c r="FEU56" s="245"/>
      <c r="FEV56" s="245"/>
      <c r="FEW56" s="245"/>
      <c r="FEX56" s="245"/>
      <c r="FEY56" s="245"/>
      <c r="FEZ56" s="245"/>
      <c r="FFA56" s="245"/>
      <c r="FFB56" s="245"/>
      <c r="FFC56" s="245"/>
      <c r="FFD56" s="245"/>
      <c r="FFE56" s="245"/>
      <c r="FFF56" s="245"/>
      <c r="FFG56" s="245"/>
      <c r="FFH56" s="245"/>
      <c r="FFI56" s="245"/>
      <c r="FFJ56" s="245"/>
      <c r="FFK56" s="245"/>
      <c r="FFL56" s="245"/>
      <c r="FFM56" s="245"/>
      <c r="FFN56" s="245"/>
      <c r="FFO56" s="245"/>
      <c r="FFP56" s="245"/>
      <c r="FFQ56" s="245"/>
      <c r="FFR56" s="245"/>
      <c r="FFS56" s="245"/>
      <c r="FFT56" s="245"/>
      <c r="FFU56" s="245"/>
      <c r="FFV56" s="245"/>
      <c r="FFW56" s="245"/>
      <c r="FFX56" s="245"/>
      <c r="FFY56" s="245"/>
      <c r="FFZ56" s="245"/>
      <c r="FGA56" s="245"/>
      <c r="FGB56" s="245"/>
      <c r="FGC56" s="245"/>
      <c r="FGD56" s="245"/>
      <c r="FGE56" s="245"/>
      <c r="FGF56" s="245"/>
      <c r="FGG56" s="245"/>
      <c r="FGH56" s="245"/>
      <c r="FGI56" s="245"/>
      <c r="FGJ56" s="245"/>
      <c r="FGK56" s="245"/>
      <c r="FGL56" s="245"/>
      <c r="FGM56" s="245"/>
      <c r="FGN56" s="245"/>
      <c r="FGO56" s="245"/>
      <c r="FGP56" s="245"/>
      <c r="FGQ56" s="245"/>
      <c r="FGR56" s="245"/>
      <c r="FGS56" s="245"/>
      <c r="FGT56" s="245"/>
      <c r="FGU56" s="245"/>
      <c r="FGV56" s="245"/>
      <c r="FGW56" s="245"/>
      <c r="FGX56" s="245"/>
      <c r="FGY56" s="245"/>
      <c r="FGZ56" s="245"/>
      <c r="FHA56" s="245"/>
      <c r="FHB56" s="245"/>
      <c r="FHC56" s="245"/>
      <c r="FHD56" s="245"/>
      <c r="FHE56" s="245"/>
      <c r="FHF56" s="245"/>
      <c r="FHG56" s="245"/>
      <c r="FHH56" s="245"/>
      <c r="FHI56" s="245"/>
      <c r="FHJ56" s="245"/>
      <c r="FHK56" s="245"/>
      <c r="FHL56" s="245"/>
      <c r="FHM56" s="245"/>
      <c r="FHN56" s="245"/>
      <c r="FHO56" s="245"/>
      <c r="FHP56" s="245"/>
      <c r="FHQ56" s="245"/>
      <c r="FHR56" s="245"/>
      <c r="FHS56" s="245"/>
      <c r="FHT56" s="245"/>
      <c r="FHU56" s="245"/>
      <c r="FHV56" s="245"/>
      <c r="FHW56" s="245"/>
      <c r="FHX56" s="245"/>
      <c r="FHY56" s="245"/>
      <c r="FHZ56" s="245"/>
      <c r="FIA56" s="245"/>
      <c r="FIB56" s="245"/>
      <c r="FIC56" s="245"/>
      <c r="FID56" s="245"/>
      <c r="FIE56" s="245"/>
      <c r="FIF56" s="245"/>
      <c r="FIG56" s="245"/>
      <c r="FIH56" s="245"/>
      <c r="FII56" s="245"/>
      <c r="FIJ56" s="245"/>
      <c r="FIK56" s="245"/>
      <c r="FIL56" s="245"/>
      <c r="FIM56" s="245"/>
      <c r="FIN56" s="245"/>
      <c r="FIO56" s="245"/>
      <c r="FIP56" s="245"/>
      <c r="FIQ56" s="245"/>
      <c r="FIR56" s="245"/>
      <c r="FIS56" s="245"/>
      <c r="FIT56" s="245"/>
      <c r="FIU56" s="245"/>
      <c r="FIV56" s="245"/>
      <c r="FIW56" s="245"/>
      <c r="FIX56" s="245"/>
      <c r="FIY56" s="245"/>
      <c r="FIZ56" s="245"/>
      <c r="FJA56" s="245"/>
      <c r="FJB56" s="245"/>
      <c r="FJC56" s="245"/>
      <c r="FJD56" s="245"/>
      <c r="FJE56" s="245"/>
      <c r="FJF56" s="245"/>
      <c r="FJG56" s="245"/>
      <c r="FJH56" s="245"/>
      <c r="FJI56" s="245"/>
      <c r="FJJ56" s="245"/>
      <c r="FJK56" s="245"/>
      <c r="FJL56" s="245"/>
      <c r="FJM56" s="245"/>
      <c r="FJN56" s="245"/>
      <c r="FJO56" s="245"/>
      <c r="FJP56" s="245"/>
      <c r="FJQ56" s="245"/>
      <c r="FJR56" s="245"/>
      <c r="FJS56" s="245"/>
      <c r="FJT56" s="245"/>
      <c r="FJU56" s="245"/>
      <c r="FJV56" s="245"/>
      <c r="FJW56" s="245"/>
      <c r="FJX56" s="245"/>
      <c r="FJY56" s="245"/>
      <c r="FJZ56" s="245"/>
      <c r="FKA56" s="245"/>
      <c r="FKB56" s="245"/>
      <c r="FKC56" s="245"/>
      <c r="FKD56" s="245"/>
      <c r="FKE56" s="245"/>
      <c r="FKF56" s="245"/>
      <c r="FKG56" s="245"/>
      <c r="FKH56" s="245"/>
      <c r="FKI56" s="245"/>
      <c r="FKJ56" s="245"/>
      <c r="FKK56" s="245"/>
      <c r="FKL56" s="245"/>
      <c r="FKM56" s="245"/>
      <c r="FKN56" s="245"/>
      <c r="FKO56" s="245"/>
      <c r="FKP56" s="245"/>
      <c r="FKQ56" s="245"/>
      <c r="FKR56" s="245"/>
      <c r="FKS56" s="245"/>
      <c r="FKT56" s="245"/>
      <c r="FKU56" s="245"/>
      <c r="FKV56" s="245"/>
      <c r="FKW56" s="245"/>
      <c r="FKX56" s="245"/>
      <c r="FKY56" s="245"/>
      <c r="FKZ56" s="245"/>
      <c r="FLA56" s="245"/>
      <c r="FLB56" s="245"/>
      <c r="FLC56" s="245"/>
      <c r="FLD56" s="245"/>
      <c r="FLE56" s="245"/>
      <c r="FLF56" s="245"/>
      <c r="FLG56" s="245"/>
      <c r="FLH56" s="245"/>
      <c r="FLI56" s="245"/>
      <c r="FLJ56" s="245"/>
      <c r="FLK56" s="245"/>
      <c r="FLL56" s="245"/>
      <c r="FLM56" s="245"/>
      <c r="FLN56" s="245"/>
      <c r="FLO56" s="245"/>
      <c r="FLP56" s="245"/>
      <c r="FLQ56" s="245"/>
      <c r="FLR56" s="245"/>
      <c r="FLS56" s="245"/>
      <c r="FLT56" s="245"/>
      <c r="FLU56" s="245"/>
      <c r="FLV56" s="245"/>
      <c r="FLW56" s="245"/>
      <c r="FLX56" s="245"/>
      <c r="FLY56" s="245"/>
      <c r="FLZ56" s="245"/>
      <c r="FMA56" s="245"/>
      <c r="FMB56" s="245"/>
      <c r="FMC56" s="245"/>
      <c r="FMD56" s="245"/>
      <c r="FME56" s="245"/>
      <c r="FMF56" s="245"/>
      <c r="FMG56" s="245"/>
      <c r="FMH56" s="245"/>
      <c r="FMI56" s="245"/>
      <c r="FMJ56" s="245"/>
      <c r="FMK56" s="245"/>
      <c r="FML56" s="245"/>
      <c r="FMM56" s="245"/>
      <c r="FMN56" s="245"/>
      <c r="FMO56" s="245"/>
      <c r="FMP56" s="245"/>
      <c r="FMQ56" s="245"/>
      <c r="FMR56" s="245"/>
      <c r="FMS56" s="245"/>
      <c r="FMT56" s="245"/>
      <c r="FMU56" s="245"/>
      <c r="FMV56" s="245"/>
      <c r="FMW56" s="245"/>
      <c r="FMX56" s="245"/>
      <c r="FMY56" s="245"/>
      <c r="FMZ56" s="245"/>
      <c r="FNA56" s="245"/>
      <c r="FNB56" s="245"/>
      <c r="FNC56" s="245"/>
      <c r="FND56" s="245"/>
      <c r="FNE56" s="245"/>
      <c r="FNF56" s="245"/>
      <c r="FNG56" s="245"/>
      <c r="FNH56" s="245"/>
      <c r="FNI56" s="245"/>
      <c r="FNJ56" s="245"/>
      <c r="FNK56" s="245"/>
      <c r="FNL56" s="245"/>
      <c r="FNM56" s="245"/>
      <c r="FNN56" s="245"/>
      <c r="FNO56" s="245"/>
      <c r="FNP56" s="245"/>
      <c r="FNQ56" s="245"/>
      <c r="FNR56" s="245"/>
      <c r="FNS56" s="245"/>
      <c r="FNT56" s="245"/>
      <c r="FNU56" s="245"/>
      <c r="FNV56" s="245"/>
      <c r="FNW56" s="245"/>
      <c r="FNX56" s="245"/>
      <c r="FNY56" s="245"/>
      <c r="FNZ56" s="245"/>
      <c r="FOA56" s="245"/>
      <c r="FOB56" s="245"/>
      <c r="FOC56" s="245"/>
      <c r="FOD56" s="245"/>
      <c r="FOE56" s="245"/>
      <c r="FOF56" s="245"/>
      <c r="FOG56" s="245"/>
      <c r="FOH56" s="245"/>
      <c r="FOI56" s="245"/>
      <c r="FOJ56" s="245"/>
      <c r="FOK56" s="245"/>
      <c r="FOL56" s="245"/>
      <c r="FOM56" s="245"/>
      <c r="FON56" s="245"/>
      <c r="FOO56" s="245"/>
      <c r="FOP56" s="245"/>
      <c r="FOQ56" s="245"/>
      <c r="FOR56" s="245"/>
      <c r="FOS56" s="245"/>
      <c r="FOT56" s="245"/>
      <c r="FOU56" s="245"/>
      <c r="FOV56" s="245"/>
      <c r="FOW56" s="245"/>
      <c r="FOX56" s="245"/>
      <c r="FOY56" s="245"/>
      <c r="FOZ56" s="245"/>
      <c r="FPA56" s="245"/>
      <c r="FPB56" s="245"/>
      <c r="FPC56" s="245"/>
      <c r="FPD56" s="245"/>
      <c r="FPE56" s="245"/>
      <c r="FPF56" s="245"/>
      <c r="FPG56" s="245"/>
      <c r="FPH56" s="245"/>
      <c r="FPI56" s="245"/>
      <c r="FPJ56" s="245"/>
      <c r="FPK56" s="245"/>
      <c r="FPL56" s="245"/>
      <c r="FPM56" s="245"/>
      <c r="FPN56" s="245"/>
      <c r="FPO56" s="245"/>
      <c r="FPP56" s="245"/>
      <c r="FPQ56" s="245"/>
      <c r="FPR56" s="245"/>
      <c r="FPS56" s="245"/>
      <c r="FPT56" s="245"/>
      <c r="FPU56" s="245"/>
      <c r="FPV56" s="245"/>
      <c r="FPW56" s="245"/>
      <c r="FPX56" s="245"/>
      <c r="FPY56" s="245"/>
      <c r="FPZ56" s="245"/>
      <c r="FQA56" s="245"/>
      <c r="FQB56" s="245"/>
      <c r="FQC56" s="245"/>
      <c r="FQD56" s="245"/>
      <c r="FQE56" s="245"/>
      <c r="FQF56" s="245"/>
      <c r="FQG56" s="245"/>
      <c r="FQH56" s="245"/>
      <c r="FQI56" s="245"/>
      <c r="FQJ56" s="245"/>
      <c r="FQK56" s="245"/>
      <c r="FQL56" s="245"/>
      <c r="FQM56" s="245"/>
      <c r="FQN56" s="245"/>
      <c r="FQO56" s="245"/>
      <c r="FQP56" s="245"/>
      <c r="FQQ56" s="245"/>
      <c r="FQR56" s="245"/>
      <c r="FQS56" s="245"/>
      <c r="FQT56" s="245"/>
      <c r="FQU56" s="245"/>
      <c r="FQV56" s="245"/>
      <c r="FQW56" s="245"/>
      <c r="FQX56" s="245"/>
      <c r="FQY56" s="245"/>
      <c r="FQZ56" s="245"/>
      <c r="FRA56" s="245"/>
      <c r="FRB56" s="245"/>
      <c r="FRC56" s="245"/>
      <c r="FRD56" s="245"/>
      <c r="FRE56" s="245"/>
      <c r="FRF56" s="245"/>
      <c r="FRG56" s="245"/>
      <c r="FRH56" s="245"/>
      <c r="FRI56" s="245"/>
      <c r="FRJ56" s="245"/>
      <c r="FRK56" s="245"/>
      <c r="FRL56" s="245"/>
      <c r="FRM56" s="245"/>
      <c r="FRN56" s="245"/>
      <c r="FRO56" s="245"/>
      <c r="FRP56" s="245"/>
      <c r="FRQ56" s="245"/>
      <c r="FRR56" s="245"/>
      <c r="FRS56" s="245"/>
      <c r="FRT56" s="245"/>
      <c r="FRU56" s="245"/>
      <c r="FRV56" s="245"/>
      <c r="FRW56" s="245"/>
      <c r="FRX56" s="245"/>
      <c r="FRY56" s="245"/>
      <c r="FRZ56" s="245"/>
      <c r="FSA56" s="245"/>
      <c r="FSB56" s="245"/>
      <c r="FSC56" s="245"/>
      <c r="FSD56" s="245"/>
      <c r="FSE56" s="245"/>
      <c r="FSF56" s="245"/>
      <c r="FSG56" s="245"/>
      <c r="FSH56" s="245"/>
      <c r="FSI56" s="245"/>
      <c r="FSJ56" s="245"/>
      <c r="FSK56" s="245"/>
      <c r="FSL56" s="245"/>
      <c r="FSM56" s="245"/>
      <c r="FSN56" s="245"/>
      <c r="FSO56" s="245"/>
      <c r="FSP56" s="245"/>
      <c r="FSQ56" s="245"/>
      <c r="FSR56" s="245"/>
      <c r="FSS56" s="245"/>
      <c r="FST56" s="245"/>
      <c r="FSU56" s="245"/>
      <c r="FSV56" s="245"/>
      <c r="FSW56" s="245"/>
      <c r="FSX56" s="245"/>
      <c r="FSY56" s="245"/>
      <c r="FSZ56" s="245"/>
      <c r="FTA56" s="245"/>
      <c r="FTB56" s="245"/>
      <c r="FTC56" s="245"/>
      <c r="FTD56" s="245"/>
      <c r="FTE56" s="245"/>
      <c r="FTF56" s="245"/>
      <c r="FTG56" s="245"/>
      <c r="FTH56" s="245"/>
      <c r="FTI56" s="245"/>
      <c r="FTJ56" s="245"/>
      <c r="FTK56" s="245"/>
      <c r="FTL56" s="245"/>
      <c r="FTM56" s="245"/>
      <c r="FTN56" s="245"/>
      <c r="FTO56" s="245"/>
      <c r="FTP56" s="245"/>
      <c r="FTQ56" s="245"/>
      <c r="FTR56" s="245"/>
      <c r="FTS56" s="245"/>
      <c r="FTT56" s="245"/>
      <c r="FTU56" s="245"/>
      <c r="FTV56" s="245"/>
      <c r="FTW56" s="245"/>
      <c r="FTX56" s="245"/>
      <c r="FTY56" s="245"/>
      <c r="FTZ56" s="245"/>
      <c r="FUA56" s="245"/>
      <c r="FUB56" s="245"/>
      <c r="FUC56" s="245"/>
      <c r="FUD56" s="245"/>
      <c r="FUE56" s="245"/>
      <c r="FUF56" s="245"/>
      <c r="FUG56" s="245"/>
      <c r="FUH56" s="245"/>
      <c r="FUI56" s="245"/>
      <c r="FUJ56" s="245"/>
      <c r="FUK56" s="245"/>
      <c r="FUL56" s="245"/>
      <c r="FUM56" s="245"/>
      <c r="FUN56" s="245"/>
      <c r="FUO56" s="245"/>
      <c r="FUP56" s="245"/>
      <c r="FUQ56" s="245"/>
      <c r="FUR56" s="245"/>
      <c r="FUS56" s="245"/>
      <c r="FUT56" s="245"/>
      <c r="FUU56" s="245"/>
      <c r="FUV56" s="245"/>
      <c r="FUW56" s="245"/>
      <c r="FUX56" s="245"/>
      <c r="FUY56" s="245"/>
      <c r="FUZ56" s="245"/>
      <c r="FVA56" s="245"/>
      <c r="FVB56" s="245"/>
      <c r="FVC56" s="245"/>
      <c r="FVD56" s="245"/>
      <c r="FVE56" s="245"/>
      <c r="FVF56" s="245"/>
      <c r="FVG56" s="245"/>
      <c r="FVH56" s="245"/>
      <c r="FVI56" s="245"/>
      <c r="FVJ56" s="245"/>
      <c r="FVK56" s="245"/>
      <c r="FVL56" s="245"/>
      <c r="FVM56" s="245"/>
      <c r="FVN56" s="245"/>
      <c r="FVO56" s="245"/>
      <c r="FVP56" s="245"/>
      <c r="FVQ56" s="245"/>
      <c r="FVR56" s="245"/>
      <c r="FVS56" s="245"/>
      <c r="FVT56" s="245"/>
      <c r="FVU56" s="245"/>
      <c r="FVV56" s="245"/>
      <c r="FVW56" s="245"/>
      <c r="FVX56" s="245"/>
      <c r="FVY56" s="245"/>
      <c r="FVZ56" s="245"/>
      <c r="FWA56" s="245"/>
      <c r="FWB56" s="245"/>
      <c r="FWC56" s="245"/>
      <c r="FWD56" s="245"/>
      <c r="FWE56" s="245"/>
      <c r="FWF56" s="245"/>
      <c r="FWG56" s="245"/>
      <c r="FWH56" s="245"/>
      <c r="FWI56" s="245"/>
      <c r="FWJ56" s="245"/>
      <c r="FWK56" s="245"/>
      <c r="FWL56" s="245"/>
      <c r="FWM56" s="245"/>
      <c r="FWN56" s="245"/>
      <c r="FWO56" s="245"/>
      <c r="FWP56" s="245"/>
      <c r="FWQ56" s="245"/>
      <c r="FWR56" s="245"/>
      <c r="FWS56" s="245"/>
      <c r="FWT56" s="245"/>
      <c r="FWU56" s="245"/>
      <c r="FWV56" s="245"/>
      <c r="FWW56" s="245"/>
      <c r="FWX56" s="245"/>
      <c r="FWY56" s="245"/>
      <c r="FWZ56" s="245"/>
      <c r="FXA56" s="245"/>
      <c r="FXB56" s="245"/>
      <c r="FXC56" s="245"/>
      <c r="FXD56" s="245"/>
      <c r="FXE56" s="245"/>
      <c r="FXF56" s="245"/>
      <c r="FXG56" s="245"/>
      <c r="FXH56" s="245"/>
      <c r="FXI56" s="245"/>
      <c r="FXJ56" s="245"/>
      <c r="FXK56" s="245"/>
      <c r="FXL56" s="245"/>
      <c r="FXM56" s="245"/>
      <c r="FXN56" s="245"/>
      <c r="FXO56" s="245"/>
      <c r="FXP56" s="245"/>
      <c r="FXQ56" s="245"/>
      <c r="FXR56" s="245"/>
      <c r="FXS56" s="245"/>
      <c r="FXT56" s="245"/>
      <c r="FXU56" s="245"/>
      <c r="FXV56" s="245"/>
      <c r="FXW56" s="245"/>
      <c r="FXX56" s="245"/>
      <c r="FXY56" s="245"/>
      <c r="FXZ56" s="245"/>
      <c r="FYA56" s="245"/>
      <c r="FYB56" s="245"/>
      <c r="FYC56" s="245"/>
      <c r="FYD56" s="245"/>
      <c r="FYE56" s="245"/>
      <c r="FYF56" s="245"/>
      <c r="FYG56" s="245"/>
      <c r="FYH56" s="245"/>
      <c r="FYI56" s="245"/>
      <c r="FYJ56" s="245"/>
      <c r="FYK56" s="245"/>
      <c r="FYL56" s="245"/>
      <c r="FYM56" s="245"/>
      <c r="FYN56" s="245"/>
      <c r="FYO56" s="245"/>
      <c r="FYP56" s="245"/>
      <c r="FYQ56" s="245"/>
      <c r="FYR56" s="245"/>
      <c r="FYS56" s="245"/>
      <c r="FYT56" s="245"/>
      <c r="FYU56" s="245"/>
      <c r="FYV56" s="245"/>
      <c r="FYW56" s="245"/>
      <c r="FYX56" s="245"/>
      <c r="FYY56" s="245"/>
      <c r="FYZ56" s="245"/>
      <c r="FZA56" s="245"/>
      <c r="FZB56" s="245"/>
      <c r="FZC56" s="245"/>
      <c r="FZD56" s="245"/>
      <c r="FZE56" s="245"/>
      <c r="FZF56" s="245"/>
      <c r="FZG56" s="245"/>
      <c r="FZH56" s="245"/>
      <c r="FZI56" s="245"/>
      <c r="FZJ56" s="245"/>
      <c r="FZK56" s="245"/>
      <c r="FZL56" s="245"/>
      <c r="FZM56" s="245"/>
      <c r="FZN56" s="245"/>
      <c r="FZO56" s="245"/>
      <c r="FZP56" s="245"/>
      <c r="FZQ56" s="245"/>
      <c r="FZR56" s="245"/>
      <c r="FZS56" s="245"/>
      <c r="FZT56" s="245"/>
      <c r="FZU56" s="245"/>
      <c r="FZV56" s="245"/>
      <c r="FZW56" s="245"/>
      <c r="FZX56" s="245"/>
      <c r="FZY56" s="245"/>
      <c r="FZZ56" s="245"/>
      <c r="GAA56" s="245"/>
      <c r="GAB56" s="245"/>
      <c r="GAC56" s="245"/>
      <c r="GAD56" s="245"/>
      <c r="GAE56" s="245"/>
      <c r="GAF56" s="245"/>
      <c r="GAG56" s="245"/>
      <c r="GAH56" s="245"/>
      <c r="GAI56" s="245"/>
      <c r="GAJ56" s="245"/>
      <c r="GAK56" s="245"/>
      <c r="GAL56" s="245"/>
      <c r="GAM56" s="245"/>
      <c r="GAN56" s="245"/>
      <c r="GAO56" s="245"/>
      <c r="GAP56" s="245"/>
      <c r="GAQ56" s="245"/>
      <c r="GAR56" s="245"/>
      <c r="GAS56" s="245"/>
      <c r="GAT56" s="245"/>
      <c r="GAU56" s="245"/>
      <c r="GAV56" s="245"/>
      <c r="GAW56" s="245"/>
      <c r="GAX56" s="245"/>
      <c r="GAY56" s="245"/>
      <c r="GAZ56" s="245"/>
      <c r="GBA56" s="245"/>
      <c r="GBB56" s="245"/>
      <c r="GBC56" s="245"/>
      <c r="GBD56" s="245"/>
      <c r="GBE56" s="245"/>
      <c r="GBF56" s="245"/>
      <c r="GBG56" s="245"/>
      <c r="GBH56" s="245"/>
      <c r="GBI56" s="245"/>
      <c r="GBJ56" s="245"/>
      <c r="GBK56" s="245"/>
      <c r="GBL56" s="245"/>
      <c r="GBM56" s="245"/>
      <c r="GBN56" s="245"/>
      <c r="GBO56" s="245"/>
      <c r="GBP56" s="245"/>
      <c r="GBQ56" s="245"/>
      <c r="GBR56" s="245"/>
      <c r="GBS56" s="245"/>
      <c r="GBT56" s="245"/>
      <c r="GBU56" s="245"/>
      <c r="GBV56" s="245"/>
      <c r="GBW56" s="245"/>
      <c r="GBX56" s="245"/>
      <c r="GBY56" s="245"/>
      <c r="GBZ56" s="245"/>
      <c r="GCA56" s="245"/>
      <c r="GCB56" s="245"/>
      <c r="GCC56" s="245"/>
      <c r="GCD56" s="245"/>
      <c r="GCE56" s="245"/>
      <c r="GCF56" s="245"/>
      <c r="GCG56" s="245"/>
      <c r="GCH56" s="245"/>
      <c r="GCI56" s="245"/>
      <c r="GCJ56" s="245"/>
      <c r="GCK56" s="245"/>
      <c r="GCL56" s="245"/>
      <c r="GCM56" s="245"/>
      <c r="GCN56" s="245"/>
      <c r="GCO56" s="245"/>
      <c r="GCP56" s="245"/>
      <c r="GCQ56" s="245"/>
      <c r="GCR56" s="245"/>
      <c r="GCS56" s="245"/>
      <c r="GCT56" s="245"/>
      <c r="GCU56" s="245"/>
      <c r="GCV56" s="245"/>
      <c r="GCW56" s="245"/>
      <c r="GCX56" s="245"/>
      <c r="GCY56" s="245"/>
      <c r="GCZ56" s="245"/>
      <c r="GDA56" s="245"/>
      <c r="GDB56" s="245"/>
      <c r="GDC56" s="245"/>
      <c r="GDD56" s="245"/>
      <c r="GDE56" s="245"/>
      <c r="GDF56" s="245"/>
      <c r="GDG56" s="245"/>
      <c r="GDH56" s="245"/>
      <c r="GDI56" s="245"/>
      <c r="GDJ56" s="245"/>
      <c r="GDK56" s="245"/>
      <c r="GDL56" s="245"/>
      <c r="GDM56" s="245"/>
      <c r="GDN56" s="245"/>
      <c r="GDO56" s="245"/>
      <c r="GDP56" s="245"/>
      <c r="GDQ56" s="245"/>
      <c r="GDR56" s="245"/>
      <c r="GDS56" s="245"/>
      <c r="GDT56" s="245"/>
      <c r="GDU56" s="245"/>
      <c r="GDV56" s="245"/>
      <c r="GDW56" s="245"/>
      <c r="GDX56" s="245"/>
      <c r="GDY56" s="245"/>
      <c r="GDZ56" s="245"/>
      <c r="GEA56" s="245"/>
      <c r="GEB56" s="245"/>
      <c r="GEC56" s="245"/>
      <c r="GED56" s="245"/>
      <c r="GEE56" s="245"/>
      <c r="GEF56" s="245"/>
      <c r="GEG56" s="245"/>
      <c r="GEH56" s="245"/>
      <c r="GEI56" s="245"/>
      <c r="GEJ56" s="245"/>
      <c r="GEK56" s="245"/>
      <c r="GEL56" s="245"/>
      <c r="GEM56" s="245"/>
      <c r="GEN56" s="245"/>
      <c r="GEO56" s="245"/>
      <c r="GEP56" s="245"/>
      <c r="GEQ56" s="245"/>
      <c r="GER56" s="245"/>
      <c r="GES56" s="245"/>
      <c r="GET56" s="245"/>
      <c r="GEU56" s="245"/>
      <c r="GEV56" s="245"/>
      <c r="GEW56" s="245"/>
      <c r="GEX56" s="245"/>
      <c r="GEY56" s="245"/>
      <c r="GEZ56" s="245"/>
      <c r="GFA56" s="245"/>
      <c r="GFB56" s="245"/>
      <c r="GFC56" s="245"/>
      <c r="GFD56" s="245"/>
      <c r="GFE56" s="245"/>
      <c r="GFF56" s="245"/>
      <c r="GFG56" s="245"/>
      <c r="GFH56" s="245"/>
      <c r="GFI56" s="245"/>
      <c r="GFJ56" s="245"/>
      <c r="GFK56" s="245"/>
      <c r="GFL56" s="245"/>
      <c r="GFM56" s="245"/>
      <c r="GFN56" s="245"/>
      <c r="GFO56" s="245"/>
      <c r="GFP56" s="245"/>
      <c r="GFQ56" s="245"/>
      <c r="GFR56" s="245"/>
      <c r="GFS56" s="245"/>
      <c r="GFT56" s="245"/>
      <c r="GFU56" s="245"/>
      <c r="GFV56" s="245"/>
      <c r="GFW56" s="245"/>
      <c r="GFX56" s="245"/>
      <c r="GFY56" s="245"/>
      <c r="GFZ56" s="245"/>
      <c r="GGA56" s="245"/>
      <c r="GGB56" s="245"/>
      <c r="GGC56" s="245"/>
      <c r="GGD56" s="245"/>
      <c r="GGE56" s="245"/>
      <c r="GGF56" s="245"/>
      <c r="GGG56" s="245"/>
      <c r="GGH56" s="245"/>
      <c r="GGI56" s="245"/>
      <c r="GGJ56" s="245"/>
      <c r="GGK56" s="245"/>
      <c r="GGL56" s="245"/>
      <c r="GGM56" s="245"/>
      <c r="GGN56" s="245"/>
      <c r="GGO56" s="245"/>
      <c r="GGP56" s="245"/>
      <c r="GGQ56" s="245"/>
      <c r="GGR56" s="245"/>
      <c r="GGS56" s="245"/>
      <c r="GGT56" s="245"/>
      <c r="GGU56" s="245"/>
      <c r="GGV56" s="245"/>
      <c r="GGW56" s="245"/>
      <c r="GGX56" s="245"/>
      <c r="GGY56" s="245"/>
      <c r="GGZ56" s="245"/>
      <c r="GHA56" s="245"/>
      <c r="GHB56" s="245"/>
      <c r="GHC56" s="245"/>
      <c r="GHD56" s="245"/>
      <c r="GHE56" s="245"/>
      <c r="GHF56" s="245"/>
      <c r="GHG56" s="245"/>
      <c r="GHH56" s="245"/>
      <c r="GHI56" s="245"/>
      <c r="GHJ56" s="245"/>
      <c r="GHK56" s="245"/>
      <c r="GHL56" s="245"/>
      <c r="GHM56" s="245"/>
      <c r="GHN56" s="245"/>
      <c r="GHO56" s="245"/>
      <c r="GHP56" s="245"/>
      <c r="GHQ56" s="245"/>
      <c r="GHR56" s="245"/>
      <c r="GHS56" s="245"/>
      <c r="GHT56" s="245"/>
      <c r="GHU56" s="245"/>
      <c r="GHV56" s="245"/>
      <c r="GHW56" s="245"/>
      <c r="GHX56" s="245"/>
      <c r="GHY56" s="245"/>
      <c r="GHZ56" s="245"/>
      <c r="GIA56" s="245"/>
      <c r="GIB56" s="245"/>
      <c r="GIC56" s="245"/>
      <c r="GID56" s="245"/>
      <c r="GIE56" s="245"/>
      <c r="GIF56" s="245"/>
      <c r="GIG56" s="245"/>
      <c r="GIH56" s="245"/>
      <c r="GII56" s="245"/>
      <c r="GIJ56" s="245"/>
      <c r="GIK56" s="245"/>
      <c r="GIL56" s="245"/>
      <c r="GIM56" s="245"/>
      <c r="GIN56" s="245"/>
      <c r="GIO56" s="245"/>
      <c r="GIP56" s="245"/>
      <c r="GIQ56" s="245"/>
      <c r="GIR56" s="245"/>
      <c r="GIS56" s="245"/>
      <c r="GIT56" s="245"/>
      <c r="GIU56" s="245"/>
      <c r="GIV56" s="245"/>
      <c r="GIW56" s="245"/>
      <c r="GIX56" s="245"/>
      <c r="GIY56" s="245"/>
      <c r="GIZ56" s="245"/>
      <c r="GJA56" s="245"/>
      <c r="GJB56" s="245"/>
      <c r="GJC56" s="245"/>
      <c r="GJD56" s="245"/>
      <c r="GJE56" s="245"/>
      <c r="GJF56" s="245"/>
      <c r="GJG56" s="245"/>
      <c r="GJH56" s="245"/>
      <c r="GJI56" s="245"/>
      <c r="GJJ56" s="245"/>
      <c r="GJK56" s="245"/>
      <c r="GJL56" s="245"/>
      <c r="GJM56" s="245"/>
      <c r="GJN56" s="245"/>
      <c r="GJO56" s="245"/>
      <c r="GJP56" s="245"/>
      <c r="GJQ56" s="245"/>
      <c r="GJR56" s="245"/>
      <c r="GJS56" s="245"/>
      <c r="GJT56" s="245"/>
      <c r="GJU56" s="245"/>
      <c r="GJV56" s="245"/>
      <c r="GJW56" s="245"/>
      <c r="GJX56" s="245"/>
      <c r="GJY56" s="245"/>
      <c r="GJZ56" s="245"/>
      <c r="GKA56" s="245"/>
      <c r="GKB56" s="245"/>
      <c r="GKC56" s="245"/>
      <c r="GKD56" s="245"/>
      <c r="GKE56" s="245"/>
      <c r="GKF56" s="245"/>
      <c r="GKG56" s="245"/>
      <c r="GKH56" s="245"/>
      <c r="GKI56" s="245"/>
      <c r="GKJ56" s="245"/>
      <c r="GKK56" s="245"/>
      <c r="GKL56" s="245"/>
      <c r="GKM56" s="245"/>
      <c r="GKN56" s="245"/>
      <c r="GKO56" s="245"/>
      <c r="GKP56" s="245"/>
      <c r="GKQ56" s="245"/>
      <c r="GKR56" s="245"/>
      <c r="GKS56" s="245"/>
      <c r="GKT56" s="245"/>
      <c r="GKU56" s="245"/>
      <c r="GKV56" s="245"/>
      <c r="GKW56" s="245"/>
      <c r="GKX56" s="245"/>
      <c r="GKY56" s="245"/>
      <c r="GKZ56" s="245"/>
      <c r="GLA56" s="245"/>
      <c r="GLB56" s="245"/>
      <c r="GLC56" s="245"/>
      <c r="GLD56" s="245"/>
      <c r="GLE56" s="245"/>
      <c r="GLF56" s="245"/>
      <c r="GLG56" s="245"/>
      <c r="GLH56" s="245"/>
      <c r="GLI56" s="245"/>
      <c r="GLJ56" s="245"/>
      <c r="GLK56" s="245"/>
      <c r="GLL56" s="245"/>
      <c r="GLM56" s="245"/>
      <c r="GLN56" s="245"/>
      <c r="GLO56" s="245"/>
      <c r="GLP56" s="245"/>
      <c r="GLQ56" s="245"/>
      <c r="GLR56" s="245"/>
      <c r="GLS56" s="245"/>
      <c r="GLT56" s="245"/>
      <c r="GLU56" s="245"/>
      <c r="GLV56" s="245"/>
      <c r="GLW56" s="245"/>
      <c r="GLX56" s="245"/>
      <c r="GLY56" s="245"/>
      <c r="GLZ56" s="245"/>
      <c r="GMA56" s="245"/>
      <c r="GMB56" s="245"/>
      <c r="GMC56" s="245"/>
      <c r="GMD56" s="245"/>
      <c r="GME56" s="245"/>
      <c r="GMF56" s="245"/>
      <c r="GMG56" s="245"/>
      <c r="GMH56" s="245"/>
      <c r="GMI56" s="245"/>
      <c r="GMJ56" s="245"/>
      <c r="GMK56" s="245"/>
      <c r="GML56" s="245"/>
      <c r="GMM56" s="245"/>
      <c r="GMN56" s="245"/>
      <c r="GMO56" s="245"/>
      <c r="GMP56" s="245"/>
      <c r="GMQ56" s="245"/>
      <c r="GMR56" s="245"/>
      <c r="GMS56" s="245"/>
      <c r="GMT56" s="245"/>
      <c r="GMU56" s="245"/>
      <c r="GMV56" s="245"/>
      <c r="GMW56" s="245"/>
      <c r="GMX56" s="245"/>
      <c r="GMY56" s="245"/>
      <c r="GMZ56" s="245"/>
      <c r="GNA56" s="245"/>
      <c r="GNB56" s="245"/>
      <c r="GNC56" s="245"/>
      <c r="GND56" s="245"/>
      <c r="GNE56" s="245"/>
      <c r="GNF56" s="245"/>
      <c r="GNG56" s="245"/>
      <c r="GNH56" s="245"/>
      <c r="GNI56" s="245"/>
      <c r="GNJ56" s="245"/>
      <c r="GNK56" s="245"/>
      <c r="GNL56" s="245"/>
      <c r="GNM56" s="245"/>
      <c r="GNN56" s="245"/>
      <c r="GNO56" s="245"/>
      <c r="GNP56" s="245"/>
      <c r="GNQ56" s="245"/>
      <c r="GNR56" s="245"/>
      <c r="GNS56" s="245"/>
      <c r="GNT56" s="245"/>
      <c r="GNU56" s="245"/>
      <c r="GNV56" s="245"/>
      <c r="GNW56" s="245"/>
      <c r="GNX56" s="245"/>
      <c r="GNY56" s="245"/>
      <c r="GNZ56" s="245"/>
      <c r="GOA56" s="245"/>
      <c r="GOB56" s="245"/>
      <c r="GOC56" s="245"/>
      <c r="GOD56" s="245"/>
      <c r="GOE56" s="245"/>
      <c r="GOF56" s="245"/>
      <c r="GOG56" s="245"/>
      <c r="GOH56" s="245"/>
      <c r="GOI56" s="245"/>
      <c r="GOJ56" s="245"/>
      <c r="GOK56" s="245"/>
      <c r="GOL56" s="245"/>
      <c r="GOM56" s="245"/>
      <c r="GON56" s="245"/>
      <c r="GOO56" s="245"/>
      <c r="GOP56" s="245"/>
      <c r="GOQ56" s="245"/>
      <c r="GOR56" s="245"/>
      <c r="GOS56" s="245"/>
      <c r="GOT56" s="245"/>
      <c r="GOU56" s="245"/>
      <c r="GOV56" s="245"/>
      <c r="GOW56" s="245"/>
      <c r="GOX56" s="245"/>
      <c r="GOY56" s="245"/>
      <c r="GOZ56" s="245"/>
      <c r="GPA56" s="245"/>
      <c r="GPB56" s="245"/>
      <c r="GPC56" s="245"/>
      <c r="GPD56" s="245"/>
      <c r="GPE56" s="245"/>
      <c r="GPF56" s="245"/>
      <c r="GPG56" s="245"/>
      <c r="GPH56" s="245"/>
      <c r="GPI56" s="245"/>
      <c r="GPJ56" s="245"/>
      <c r="GPK56" s="245"/>
      <c r="GPL56" s="245"/>
      <c r="GPM56" s="245"/>
      <c r="GPN56" s="245"/>
      <c r="GPO56" s="245"/>
      <c r="GPP56" s="245"/>
      <c r="GPQ56" s="245"/>
      <c r="GPR56" s="245"/>
      <c r="GPS56" s="245"/>
      <c r="GPT56" s="245"/>
      <c r="GPU56" s="245"/>
      <c r="GPV56" s="245"/>
      <c r="GPW56" s="245"/>
      <c r="GPX56" s="245"/>
      <c r="GPY56" s="245"/>
      <c r="GPZ56" s="245"/>
      <c r="GQA56" s="245"/>
      <c r="GQB56" s="245"/>
      <c r="GQC56" s="245"/>
      <c r="GQD56" s="245"/>
      <c r="GQE56" s="245"/>
      <c r="GQF56" s="245"/>
      <c r="GQG56" s="245"/>
      <c r="GQH56" s="245"/>
      <c r="GQI56" s="245"/>
      <c r="GQJ56" s="245"/>
      <c r="GQK56" s="245"/>
      <c r="GQL56" s="245"/>
      <c r="GQM56" s="245"/>
      <c r="GQN56" s="245"/>
      <c r="GQO56" s="245"/>
      <c r="GQP56" s="245"/>
      <c r="GQQ56" s="245"/>
      <c r="GQR56" s="245"/>
      <c r="GQS56" s="245"/>
      <c r="GQT56" s="245"/>
      <c r="GQU56" s="245"/>
      <c r="GQV56" s="245"/>
      <c r="GQW56" s="245"/>
      <c r="GQX56" s="245"/>
      <c r="GQY56" s="245"/>
      <c r="GQZ56" s="245"/>
      <c r="GRA56" s="245"/>
      <c r="GRB56" s="245"/>
      <c r="GRC56" s="245"/>
      <c r="GRD56" s="245"/>
      <c r="GRE56" s="245"/>
      <c r="GRF56" s="245"/>
      <c r="GRG56" s="245"/>
      <c r="GRH56" s="245"/>
      <c r="GRI56" s="245"/>
      <c r="GRJ56" s="245"/>
      <c r="GRK56" s="245"/>
      <c r="GRL56" s="245"/>
      <c r="GRM56" s="245"/>
      <c r="GRN56" s="245"/>
      <c r="GRO56" s="245"/>
      <c r="GRP56" s="245"/>
      <c r="GRQ56" s="245"/>
      <c r="GRR56" s="245"/>
      <c r="GRS56" s="245"/>
      <c r="GRT56" s="245"/>
      <c r="GRU56" s="245"/>
      <c r="GRV56" s="245"/>
      <c r="GRW56" s="245"/>
      <c r="GRX56" s="245"/>
      <c r="GRY56" s="245"/>
      <c r="GRZ56" s="245"/>
      <c r="GSA56" s="245"/>
      <c r="GSB56" s="245"/>
      <c r="GSC56" s="245"/>
      <c r="GSD56" s="245"/>
      <c r="GSE56" s="245"/>
      <c r="GSF56" s="245"/>
      <c r="GSG56" s="245"/>
      <c r="GSH56" s="245"/>
      <c r="GSI56" s="245"/>
      <c r="GSJ56" s="245"/>
      <c r="GSK56" s="245"/>
      <c r="GSL56" s="245"/>
      <c r="GSM56" s="245"/>
      <c r="GSN56" s="245"/>
      <c r="GSO56" s="245"/>
      <c r="GSP56" s="245"/>
      <c r="GSQ56" s="245"/>
      <c r="GSR56" s="245"/>
      <c r="GSS56" s="245"/>
      <c r="GST56" s="245"/>
      <c r="GSU56" s="245"/>
      <c r="GSV56" s="245"/>
      <c r="GSW56" s="245"/>
      <c r="GSX56" s="245"/>
      <c r="GSY56" s="245"/>
      <c r="GSZ56" s="245"/>
      <c r="GTA56" s="245"/>
      <c r="GTB56" s="245"/>
      <c r="GTC56" s="245"/>
      <c r="GTD56" s="245"/>
      <c r="GTE56" s="245"/>
      <c r="GTF56" s="245"/>
      <c r="GTG56" s="245"/>
      <c r="GTH56" s="245"/>
      <c r="GTI56" s="245"/>
      <c r="GTJ56" s="245"/>
      <c r="GTK56" s="245"/>
      <c r="GTL56" s="245"/>
      <c r="GTM56" s="245"/>
      <c r="GTN56" s="245"/>
      <c r="GTO56" s="245"/>
      <c r="GTP56" s="245"/>
      <c r="GTQ56" s="245"/>
      <c r="GTR56" s="245"/>
      <c r="GTS56" s="245"/>
      <c r="GTT56" s="245"/>
      <c r="GTU56" s="245"/>
      <c r="GTV56" s="245"/>
      <c r="GTW56" s="245"/>
      <c r="GTX56" s="245"/>
      <c r="GTY56" s="245"/>
      <c r="GTZ56" s="245"/>
      <c r="GUA56" s="245"/>
      <c r="GUB56" s="245"/>
      <c r="GUC56" s="245"/>
      <c r="GUD56" s="245"/>
      <c r="GUE56" s="245"/>
      <c r="GUF56" s="245"/>
      <c r="GUG56" s="245"/>
      <c r="GUH56" s="245"/>
      <c r="GUI56" s="245"/>
      <c r="GUJ56" s="245"/>
      <c r="GUK56" s="245"/>
      <c r="GUL56" s="245"/>
      <c r="GUM56" s="245"/>
      <c r="GUN56" s="245"/>
      <c r="GUO56" s="245"/>
      <c r="GUP56" s="245"/>
      <c r="GUQ56" s="245"/>
      <c r="GUR56" s="245"/>
      <c r="GUS56" s="245"/>
      <c r="GUT56" s="245"/>
      <c r="GUU56" s="245"/>
      <c r="GUV56" s="245"/>
      <c r="GUW56" s="245"/>
      <c r="GUX56" s="245"/>
      <c r="GUY56" s="245"/>
      <c r="GUZ56" s="245"/>
      <c r="GVA56" s="245"/>
      <c r="GVB56" s="245"/>
      <c r="GVC56" s="245"/>
      <c r="GVD56" s="245"/>
      <c r="GVE56" s="245"/>
      <c r="GVF56" s="245"/>
      <c r="GVG56" s="245"/>
      <c r="GVH56" s="245"/>
      <c r="GVI56" s="245"/>
      <c r="GVJ56" s="245"/>
      <c r="GVK56" s="245"/>
      <c r="GVL56" s="245"/>
      <c r="GVM56" s="245"/>
      <c r="GVN56" s="245"/>
      <c r="GVO56" s="245"/>
      <c r="GVP56" s="245"/>
      <c r="GVQ56" s="245"/>
      <c r="GVR56" s="245"/>
      <c r="GVS56" s="245"/>
      <c r="GVT56" s="245"/>
      <c r="GVU56" s="245"/>
      <c r="GVV56" s="245"/>
      <c r="GVW56" s="245"/>
      <c r="GVX56" s="245"/>
      <c r="GVY56" s="245"/>
      <c r="GVZ56" s="245"/>
      <c r="GWA56" s="245"/>
      <c r="GWB56" s="245"/>
      <c r="GWC56" s="245"/>
      <c r="GWD56" s="245"/>
      <c r="GWE56" s="245"/>
      <c r="GWF56" s="245"/>
      <c r="GWG56" s="245"/>
      <c r="GWH56" s="245"/>
      <c r="GWI56" s="245"/>
      <c r="GWJ56" s="245"/>
      <c r="GWK56" s="245"/>
      <c r="GWL56" s="245"/>
      <c r="GWM56" s="245"/>
      <c r="GWN56" s="245"/>
      <c r="GWO56" s="245"/>
      <c r="GWP56" s="245"/>
      <c r="GWQ56" s="245"/>
      <c r="GWR56" s="245"/>
      <c r="GWS56" s="245"/>
      <c r="GWT56" s="245"/>
      <c r="GWU56" s="245"/>
      <c r="GWV56" s="245"/>
      <c r="GWW56" s="245"/>
      <c r="GWX56" s="245"/>
      <c r="GWY56" s="245"/>
      <c r="GWZ56" s="245"/>
      <c r="GXA56" s="245"/>
      <c r="GXB56" s="245"/>
      <c r="GXC56" s="245"/>
      <c r="GXD56" s="245"/>
      <c r="GXE56" s="245"/>
      <c r="GXF56" s="245"/>
      <c r="GXG56" s="245"/>
      <c r="GXH56" s="245"/>
      <c r="GXI56" s="245"/>
      <c r="GXJ56" s="245"/>
      <c r="GXK56" s="245"/>
      <c r="GXL56" s="245"/>
      <c r="GXM56" s="245"/>
      <c r="GXN56" s="245"/>
      <c r="GXO56" s="245"/>
      <c r="GXP56" s="245"/>
      <c r="GXQ56" s="245"/>
      <c r="GXR56" s="245"/>
      <c r="GXS56" s="245"/>
      <c r="GXT56" s="245"/>
      <c r="GXU56" s="245"/>
      <c r="GXV56" s="245"/>
      <c r="GXW56" s="245"/>
      <c r="GXX56" s="245"/>
      <c r="GXY56" s="245"/>
      <c r="GXZ56" s="245"/>
      <c r="GYA56" s="245"/>
      <c r="GYB56" s="245"/>
      <c r="GYC56" s="245"/>
      <c r="GYD56" s="245"/>
      <c r="GYE56" s="245"/>
      <c r="GYF56" s="245"/>
      <c r="GYG56" s="245"/>
      <c r="GYH56" s="245"/>
      <c r="GYI56" s="245"/>
      <c r="GYJ56" s="245"/>
      <c r="GYK56" s="245"/>
      <c r="GYL56" s="245"/>
      <c r="GYM56" s="245"/>
      <c r="GYN56" s="245"/>
      <c r="GYO56" s="245"/>
      <c r="GYP56" s="245"/>
      <c r="GYQ56" s="245"/>
      <c r="GYR56" s="245"/>
      <c r="GYS56" s="245"/>
      <c r="GYT56" s="245"/>
      <c r="GYU56" s="245"/>
      <c r="GYV56" s="245"/>
      <c r="GYW56" s="245"/>
      <c r="GYX56" s="245"/>
      <c r="GYY56" s="245"/>
      <c r="GYZ56" s="245"/>
      <c r="GZA56" s="245"/>
      <c r="GZB56" s="245"/>
      <c r="GZC56" s="245"/>
      <c r="GZD56" s="245"/>
      <c r="GZE56" s="245"/>
      <c r="GZF56" s="245"/>
      <c r="GZG56" s="245"/>
      <c r="GZH56" s="245"/>
      <c r="GZI56" s="245"/>
      <c r="GZJ56" s="245"/>
      <c r="GZK56" s="245"/>
      <c r="GZL56" s="245"/>
      <c r="GZM56" s="245"/>
      <c r="GZN56" s="245"/>
      <c r="GZO56" s="245"/>
      <c r="GZP56" s="245"/>
      <c r="GZQ56" s="245"/>
      <c r="GZR56" s="245"/>
      <c r="GZS56" s="245"/>
      <c r="GZT56" s="245"/>
      <c r="GZU56" s="245"/>
      <c r="GZV56" s="245"/>
      <c r="GZW56" s="245"/>
      <c r="GZX56" s="245"/>
      <c r="GZY56" s="245"/>
      <c r="GZZ56" s="245"/>
      <c r="HAA56" s="245"/>
      <c r="HAB56" s="245"/>
      <c r="HAC56" s="245"/>
      <c r="HAD56" s="245"/>
      <c r="HAE56" s="245"/>
      <c r="HAF56" s="245"/>
      <c r="HAG56" s="245"/>
      <c r="HAH56" s="245"/>
      <c r="HAI56" s="245"/>
      <c r="HAJ56" s="245"/>
      <c r="HAK56" s="245"/>
      <c r="HAL56" s="245"/>
      <c r="HAM56" s="245"/>
      <c r="HAN56" s="245"/>
      <c r="HAO56" s="245"/>
      <c r="HAP56" s="245"/>
      <c r="HAQ56" s="245"/>
      <c r="HAR56" s="245"/>
      <c r="HAS56" s="245"/>
      <c r="HAT56" s="245"/>
      <c r="HAU56" s="245"/>
      <c r="HAV56" s="245"/>
      <c r="HAW56" s="245"/>
      <c r="HAX56" s="245"/>
      <c r="HAY56" s="245"/>
      <c r="HAZ56" s="245"/>
      <c r="HBA56" s="245"/>
      <c r="HBB56" s="245"/>
      <c r="HBC56" s="245"/>
      <c r="HBD56" s="245"/>
      <c r="HBE56" s="245"/>
      <c r="HBF56" s="245"/>
      <c r="HBG56" s="245"/>
      <c r="HBH56" s="245"/>
      <c r="HBI56" s="245"/>
      <c r="HBJ56" s="245"/>
      <c r="HBK56" s="245"/>
      <c r="HBL56" s="245"/>
      <c r="HBM56" s="245"/>
      <c r="HBN56" s="245"/>
      <c r="HBO56" s="245"/>
      <c r="HBP56" s="245"/>
      <c r="HBQ56" s="245"/>
      <c r="HBR56" s="245"/>
      <c r="HBS56" s="245"/>
      <c r="HBT56" s="245"/>
      <c r="HBU56" s="245"/>
      <c r="HBV56" s="245"/>
      <c r="HBW56" s="245"/>
      <c r="HBX56" s="245"/>
      <c r="HBY56" s="245"/>
      <c r="HBZ56" s="245"/>
      <c r="HCA56" s="245"/>
      <c r="HCB56" s="245"/>
      <c r="HCC56" s="245"/>
      <c r="HCD56" s="245"/>
      <c r="HCE56" s="245"/>
      <c r="HCF56" s="245"/>
      <c r="HCG56" s="245"/>
      <c r="HCH56" s="245"/>
      <c r="HCI56" s="245"/>
      <c r="HCJ56" s="245"/>
      <c r="HCK56" s="245"/>
      <c r="HCL56" s="245"/>
      <c r="HCM56" s="245"/>
      <c r="HCN56" s="245"/>
      <c r="HCO56" s="245"/>
      <c r="HCP56" s="245"/>
      <c r="HCQ56" s="245"/>
      <c r="HCR56" s="245"/>
      <c r="HCS56" s="245"/>
      <c r="HCT56" s="245"/>
      <c r="HCU56" s="245"/>
      <c r="HCV56" s="245"/>
      <c r="HCW56" s="245"/>
      <c r="HCX56" s="245"/>
      <c r="HCY56" s="245"/>
      <c r="HCZ56" s="245"/>
      <c r="HDA56" s="245"/>
      <c r="HDB56" s="245"/>
      <c r="HDC56" s="245"/>
      <c r="HDD56" s="245"/>
      <c r="HDE56" s="245"/>
      <c r="HDF56" s="245"/>
      <c r="HDG56" s="245"/>
      <c r="HDH56" s="245"/>
      <c r="HDI56" s="245"/>
      <c r="HDJ56" s="245"/>
      <c r="HDK56" s="245"/>
      <c r="HDL56" s="245"/>
      <c r="HDM56" s="245"/>
      <c r="HDN56" s="245"/>
      <c r="HDO56" s="245"/>
      <c r="HDP56" s="245"/>
      <c r="HDQ56" s="245"/>
      <c r="HDR56" s="245"/>
      <c r="HDS56" s="245"/>
      <c r="HDT56" s="245"/>
      <c r="HDU56" s="245"/>
      <c r="HDV56" s="245"/>
      <c r="HDW56" s="245"/>
      <c r="HDX56" s="245"/>
      <c r="HDY56" s="245"/>
      <c r="HDZ56" s="245"/>
      <c r="HEA56" s="245"/>
      <c r="HEB56" s="245"/>
      <c r="HEC56" s="245"/>
      <c r="HED56" s="245"/>
      <c r="HEE56" s="245"/>
      <c r="HEF56" s="245"/>
      <c r="HEG56" s="245"/>
      <c r="HEH56" s="245"/>
      <c r="HEI56" s="245"/>
      <c r="HEJ56" s="245"/>
      <c r="HEK56" s="245"/>
      <c r="HEL56" s="245"/>
      <c r="HEM56" s="245"/>
      <c r="HEN56" s="245"/>
      <c r="HEO56" s="245"/>
      <c r="HEP56" s="245"/>
      <c r="HEQ56" s="245"/>
      <c r="HER56" s="245"/>
      <c r="HES56" s="245"/>
      <c r="HET56" s="245"/>
      <c r="HEU56" s="245"/>
      <c r="HEV56" s="245"/>
      <c r="HEW56" s="245"/>
      <c r="HEX56" s="245"/>
      <c r="HEY56" s="245"/>
      <c r="HEZ56" s="245"/>
      <c r="HFA56" s="245"/>
      <c r="HFB56" s="245"/>
      <c r="HFC56" s="245"/>
      <c r="HFD56" s="245"/>
      <c r="HFE56" s="245"/>
      <c r="HFF56" s="245"/>
      <c r="HFG56" s="245"/>
      <c r="HFH56" s="245"/>
      <c r="HFI56" s="245"/>
      <c r="HFJ56" s="245"/>
      <c r="HFK56" s="245"/>
      <c r="HFL56" s="245"/>
      <c r="HFM56" s="245"/>
      <c r="HFN56" s="245"/>
      <c r="HFO56" s="245"/>
      <c r="HFP56" s="245"/>
      <c r="HFQ56" s="245"/>
      <c r="HFR56" s="245"/>
      <c r="HFS56" s="245"/>
      <c r="HFT56" s="245"/>
      <c r="HFU56" s="245"/>
      <c r="HFV56" s="245"/>
      <c r="HFW56" s="245"/>
      <c r="HFX56" s="245"/>
      <c r="HFY56" s="245"/>
      <c r="HFZ56" s="245"/>
      <c r="HGA56" s="245"/>
      <c r="HGB56" s="245"/>
      <c r="HGC56" s="245"/>
      <c r="HGD56" s="245"/>
      <c r="HGE56" s="245"/>
      <c r="HGF56" s="245"/>
      <c r="HGG56" s="245"/>
      <c r="HGH56" s="245"/>
      <c r="HGI56" s="245"/>
      <c r="HGJ56" s="245"/>
      <c r="HGK56" s="245"/>
      <c r="HGL56" s="245"/>
      <c r="HGM56" s="245"/>
      <c r="HGN56" s="245"/>
      <c r="HGO56" s="245"/>
      <c r="HGP56" s="245"/>
      <c r="HGQ56" s="245"/>
      <c r="HGR56" s="245"/>
      <c r="HGS56" s="245"/>
      <c r="HGT56" s="245"/>
      <c r="HGU56" s="245"/>
      <c r="HGV56" s="245"/>
      <c r="HGW56" s="245"/>
      <c r="HGX56" s="245"/>
      <c r="HGY56" s="245"/>
      <c r="HGZ56" s="245"/>
      <c r="HHA56" s="245"/>
      <c r="HHB56" s="245"/>
      <c r="HHC56" s="245"/>
      <c r="HHD56" s="245"/>
      <c r="HHE56" s="245"/>
      <c r="HHF56" s="245"/>
      <c r="HHG56" s="245"/>
      <c r="HHH56" s="245"/>
      <c r="HHI56" s="245"/>
      <c r="HHJ56" s="245"/>
      <c r="HHK56" s="245"/>
      <c r="HHL56" s="245"/>
      <c r="HHM56" s="245"/>
      <c r="HHN56" s="245"/>
      <c r="HHO56" s="245"/>
      <c r="HHP56" s="245"/>
      <c r="HHQ56" s="245"/>
      <c r="HHR56" s="245"/>
      <c r="HHS56" s="245"/>
      <c r="HHT56" s="245"/>
      <c r="HHU56" s="245"/>
      <c r="HHV56" s="245"/>
      <c r="HHW56" s="245"/>
      <c r="HHX56" s="245"/>
      <c r="HHY56" s="245"/>
      <c r="HHZ56" s="245"/>
      <c r="HIA56" s="245"/>
      <c r="HIB56" s="245"/>
      <c r="HIC56" s="245"/>
      <c r="HID56" s="245"/>
      <c r="HIE56" s="245"/>
      <c r="HIF56" s="245"/>
      <c r="HIG56" s="245"/>
      <c r="HIH56" s="245"/>
      <c r="HII56" s="245"/>
      <c r="HIJ56" s="245"/>
      <c r="HIK56" s="245"/>
      <c r="HIL56" s="245"/>
      <c r="HIM56" s="245"/>
      <c r="HIN56" s="245"/>
      <c r="HIO56" s="245"/>
      <c r="HIP56" s="245"/>
      <c r="HIQ56" s="245"/>
      <c r="HIR56" s="245"/>
      <c r="HIS56" s="245"/>
      <c r="HIT56" s="245"/>
      <c r="HIU56" s="245"/>
      <c r="HIV56" s="245"/>
      <c r="HIW56" s="245"/>
      <c r="HIX56" s="245"/>
      <c r="HIY56" s="245"/>
      <c r="HIZ56" s="245"/>
      <c r="HJA56" s="245"/>
      <c r="HJB56" s="245"/>
      <c r="HJC56" s="245"/>
      <c r="HJD56" s="245"/>
      <c r="HJE56" s="245"/>
      <c r="HJF56" s="245"/>
      <c r="HJG56" s="245"/>
      <c r="HJH56" s="245"/>
      <c r="HJI56" s="245"/>
      <c r="HJJ56" s="245"/>
      <c r="HJK56" s="245"/>
      <c r="HJL56" s="245"/>
      <c r="HJM56" s="245"/>
      <c r="HJN56" s="245"/>
      <c r="HJO56" s="245"/>
      <c r="HJP56" s="245"/>
      <c r="HJQ56" s="245"/>
      <c r="HJR56" s="245"/>
      <c r="HJS56" s="245"/>
      <c r="HJT56" s="245"/>
      <c r="HJU56" s="245"/>
      <c r="HJV56" s="245"/>
      <c r="HJW56" s="245"/>
      <c r="HJX56" s="245"/>
      <c r="HJY56" s="245"/>
      <c r="HJZ56" s="245"/>
      <c r="HKA56" s="245"/>
      <c r="HKB56" s="245"/>
      <c r="HKC56" s="245"/>
      <c r="HKD56" s="245"/>
      <c r="HKE56" s="245"/>
      <c r="HKF56" s="245"/>
      <c r="HKG56" s="245"/>
      <c r="HKH56" s="245"/>
      <c r="HKI56" s="245"/>
      <c r="HKJ56" s="245"/>
      <c r="HKK56" s="245"/>
      <c r="HKL56" s="245"/>
      <c r="HKM56" s="245"/>
      <c r="HKN56" s="245"/>
      <c r="HKO56" s="245"/>
      <c r="HKP56" s="245"/>
      <c r="HKQ56" s="245"/>
      <c r="HKR56" s="245"/>
      <c r="HKS56" s="245"/>
      <c r="HKT56" s="245"/>
      <c r="HKU56" s="245"/>
      <c r="HKV56" s="245"/>
      <c r="HKW56" s="245"/>
      <c r="HKX56" s="245"/>
      <c r="HKY56" s="245"/>
      <c r="HKZ56" s="245"/>
      <c r="HLA56" s="245"/>
      <c r="HLB56" s="245"/>
      <c r="HLC56" s="245"/>
      <c r="HLD56" s="245"/>
      <c r="HLE56" s="245"/>
      <c r="HLF56" s="245"/>
      <c r="HLG56" s="245"/>
      <c r="HLH56" s="245"/>
      <c r="HLI56" s="245"/>
      <c r="HLJ56" s="245"/>
      <c r="HLK56" s="245"/>
      <c r="HLL56" s="245"/>
      <c r="HLM56" s="245"/>
      <c r="HLN56" s="245"/>
      <c r="HLO56" s="245"/>
      <c r="HLP56" s="245"/>
      <c r="HLQ56" s="245"/>
      <c r="HLR56" s="245"/>
      <c r="HLS56" s="245"/>
      <c r="HLT56" s="245"/>
      <c r="HLU56" s="245"/>
      <c r="HLV56" s="245"/>
      <c r="HLW56" s="245"/>
      <c r="HLX56" s="245"/>
      <c r="HLY56" s="245"/>
      <c r="HLZ56" s="245"/>
      <c r="HMA56" s="245"/>
      <c r="HMB56" s="245"/>
      <c r="HMC56" s="245"/>
      <c r="HMD56" s="245"/>
      <c r="HME56" s="245"/>
      <c r="HMF56" s="245"/>
      <c r="HMG56" s="245"/>
      <c r="HMH56" s="245"/>
      <c r="HMI56" s="245"/>
      <c r="HMJ56" s="245"/>
      <c r="HMK56" s="245"/>
      <c r="HML56" s="245"/>
      <c r="HMM56" s="245"/>
      <c r="HMN56" s="245"/>
      <c r="HMO56" s="245"/>
      <c r="HMP56" s="245"/>
      <c r="HMQ56" s="245"/>
      <c r="HMR56" s="245"/>
      <c r="HMS56" s="245"/>
      <c r="HMT56" s="245"/>
      <c r="HMU56" s="245"/>
      <c r="HMV56" s="245"/>
      <c r="HMW56" s="245"/>
      <c r="HMX56" s="245"/>
      <c r="HMY56" s="245"/>
      <c r="HMZ56" s="245"/>
      <c r="HNA56" s="245"/>
      <c r="HNB56" s="245"/>
      <c r="HNC56" s="245"/>
      <c r="HND56" s="245"/>
      <c r="HNE56" s="245"/>
      <c r="HNF56" s="245"/>
      <c r="HNG56" s="245"/>
      <c r="HNH56" s="245"/>
      <c r="HNI56" s="245"/>
      <c r="HNJ56" s="245"/>
      <c r="HNK56" s="245"/>
      <c r="HNL56" s="245"/>
      <c r="HNM56" s="245"/>
      <c r="HNN56" s="245"/>
      <c r="HNO56" s="245"/>
      <c r="HNP56" s="245"/>
      <c r="HNQ56" s="245"/>
      <c r="HNR56" s="245"/>
      <c r="HNS56" s="245"/>
      <c r="HNT56" s="245"/>
      <c r="HNU56" s="245"/>
      <c r="HNV56" s="245"/>
      <c r="HNW56" s="245"/>
      <c r="HNX56" s="245"/>
      <c r="HNY56" s="245"/>
      <c r="HNZ56" s="245"/>
      <c r="HOA56" s="245"/>
      <c r="HOB56" s="245"/>
      <c r="HOC56" s="245"/>
      <c r="HOD56" s="245"/>
      <c r="HOE56" s="245"/>
      <c r="HOF56" s="245"/>
      <c r="HOG56" s="245"/>
      <c r="HOH56" s="245"/>
      <c r="HOI56" s="245"/>
      <c r="HOJ56" s="245"/>
      <c r="HOK56" s="245"/>
      <c r="HOL56" s="245"/>
      <c r="HOM56" s="245"/>
      <c r="HON56" s="245"/>
      <c r="HOO56" s="245"/>
      <c r="HOP56" s="245"/>
      <c r="HOQ56" s="245"/>
      <c r="HOR56" s="245"/>
      <c r="HOS56" s="245"/>
      <c r="HOT56" s="245"/>
      <c r="HOU56" s="245"/>
      <c r="HOV56" s="245"/>
      <c r="HOW56" s="245"/>
      <c r="HOX56" s="245"/>
      <c r="HOY56" s="245"/>
      <c r="HOZ56" s="245"/>
      <c r="HPA56" s="245"/>
      <c r="HPB56" s="245"/>
      <c r="HPC56" s="245"/>
      <c r="HPD56" s="245"/>
      <c r="HPE56" s="245"/>
      <c r="HPF56" s="245"/>
      <c r="HPG56" s="245"/>
      <c r="HPH56" s="245"/>
      <c r="HPI56" s="245"/>
      <c r="HPJ56" s="245"/>
      <c r="HPK56" s="245"/>
      <c r="HPL56" s="245"/>
      <c r="HPM56" s="245"/>
      <c r="HPN56" s="245"/>
      <c r="HPO56" s="245"/>
      <c r="HPP56" s="245"/>
      <c r="HPQ56" s="245"/>
      <c r="HPR56" s="245"/>
      <c r="HPS56" s="245"/>
      <c r="HPT56" s="245"/>
      <c r="HPU56" s="245"/>
      <c r="HPV56" s="245"/>
      <c r="HPW56" s="245"/>
      <c r="HPX56" s="245"/>
      <c r="HPY56" s="245"/>
      <c r="HPZ56" s="245"/>
      <c r="HQA56" s="245"/>
      <c r="HQB56" s="245"/>
      <c r="HQC56" s="245"/>
      <c r="HQD56" s="245"/>
      <c r="HQE56" s="245"/>
      <c r="HQF56" s="245"/>
      <c r="HQG56" s="245"/>
      <c r="HQH56" s="245"/>
      <c r="HQI56" s="245"/>
      <c r="HQJ56" s="245"/>
      <c r="HQK56" s="245"/>
      <c r="HQL56" s="245"/>
      <c r="HQM56" s="245"/>
      <c r="HQN56" s="245"/>
      <c r="HQO56" s="245"/>
      <c r="HQP56" s="245"/>
      <c r="HQQ56" s="245"/>
      <c r="HQR56" s="245"/>
      <c r="HQS56" s="245"/>
      <c r="HQT56" s="245"/>
      <c r="HQU56" s="245"/>
      <c r="HQV56" s="245"/>
      <c r="HQW56" s="245"/>
      <c r="HQX56" s="245"/>
      <c r="HQY56" s="245"/>
      <c r="HQZ56" s="245"/>
      <c r="HRA56" s="245"/>
      <c r="HRB56" s="245"/>
      <c r="HRC56" s="245"/>
      <c r="HRD56" s="245"/>
      <c r="HRE56" s="245"/>
      <c r="HRF56" s="245"/>
      <c r="HRG56" s="245"/>
      <c r="HRH56" s="245"/>
      <c r="HRI56" s="245"/>
      <c r="HRJ56" s="245"/>
      <c r="HRK56" s="245"/>
      <c r="HRL56" s="245"/>
      <c r="HRM56" s="245"/>
      <c r="HRN56" s="245"/>
      <c r="HRO56" s="245"/>
      <c r="HRP56" s="245"/>
      <c r="HRQ56" s="245"/>
      <c r="HRR56" s="245"/>
      <c r="HRS56" s="245"/>
      <c r="HRT56" s="245"/>
      <c r="HRU56" s="245"/>
      <c r="HRV56" s="245"/>
      <c r="HRW56" s="245"/>
      <c r="HRX56" s="245"/>
      <c r="HRY56" s="245"/>
      <c r="HRZ56" s="245"/>
      <c r="HSA56" s="245"/>
      <c r="HSB56" s="245"/>
      <c r="HSC56" s="245"/>
      <c r="HSD56" s="245"/>
      <c r="HSE56" s="245"/>
      <c r="HSF56" s="245"/>
      <c r="HSG56" s="245"/>
      <c r="HSH56" s="245"/>
      <c r="HSI56" s="245"/>
      <c r="HSJ56" s="245"/>
      <c r="HSK56" s="245"/>
      <c r="HSL56" s="245"/>
      <c r="HSM56" s="245"/>
      <c r="HSN56" s="245"/>
      <c r="HSO56" s="245"/>
      <c r="HSP56" s="245"/>
      <c r="HSQ56" s="245"/>
      <c r="HSR56" s="245"/>
      <c r="HSS56" s="245"/>
      <c r="HST56" s="245"/>
      <c r="HSU56" s="245"/>
      <c r="HSV56" s="245"/>
      <c r="HSW56" s="245"/>
      <c r="HSX56" s="245"/>
      <c r="HSY56" s="245"/>
      <c r="HSZ56" s="245"/>
      <c r="HTA56" s="245"/>
      <c r="HTB56" s="245"/>
      <c r="HTC56" s="245"/>
      <c r="HTD56" s="245"/>
      <c r="HTE56" s="245"/>
      <c r="HTF56" s="245"/>
      <c r="HTG56" s="245"/>
      <c r="HTH56" s="245"/>
      <c r="HTI56" s="245"/>
      <c r="HTJ56" s="245"/>
      <c r="HTK56" s="245"/>
      <c r="HTL56" s="245"/>
      <c r="HTM56" s="245"/>
      <c r="HTN56" s="245"/>
      <c r="HTO56" s="245"/>
      <c r="HTP56" s="245"/>
      <c r="HTQ56" s="245"/>
      <c r="HTR56" s="245"/>
      <c r="HTS56" s="245"/>
      <c r="HTT56" s="245"/>
      <c r="HTU56" s="245"/>
      <c r="HTV56" s="245"/>
      <c r="HTW56" s="245"/>
      <c r="HTX56" s="245"/>
      <c r="HTY56" s="245"/>
      <c r="HTZ56" s="245"/>
      <c r="HUA56" s="245"/>
      <c r="HUB56" s="245"/>
      <c r="HUC56" s="245"/>
      <c r="HUD56" s="245"/>
      <c r="HUE56" s="245"/>
      <c r="HUF56" s="245"/>
      <c r="HUG56" s="245"/>
      <c r="HUH56" s="245"/>
      <c r="HUI56" s="245"/>
      <c r="HUJ56" s="245"/>
      <c r="HUK56" s="245"/>
      <c r="HUL56" s="245"/>
      <c r="HUM56" s="245"/>
      <c r="HUN56" s="245"/>
      <c r="HUO56" s="245"/>
      <c r="HUP56" s="245"/>
      <c r="HUQ56" s="245"/>
      <c r="HUR56" s="245"/>
      <c r="HUS56" s="245"/>
      <c r="HUT56" s="245"/>
      <c r="HUU56" s="245"/>
      <c r="HUV56" s="245"/>
      <c r="HUW56" s="245"/>
      <c r="HUX56" s="245"/>
      <c r="HUY56" s="245"/>
      <c r="HUZ56" s="245"/>
      <c r="HVA56" s="245"/>
      <c r="HVB56" s="245"/>
      <c r="HVC56" s="245"/>
      <c r="HVD56" s="245"/>
      <c r="HVE56" s="245"/>
      <c r="HVF56" s="245"/>
      <c r="HVG56" s="245"/>
      <c r="HVH56" s="245"/>
      <c r="HVI56" s="245"/>
      <c r="HVJ56" s="245"/>
      <c r="HVK56" s="245"/>
      <c r="HVL56" s="245"/>
      <c r="HVM56" s="245"/>
      <c r="HVN56" s="245"/>
      <c r="HVO56" s="245"/>
      <c r="HVP56" s="245"/>
      <c r="HVQ56" s="245"/>
      <c r="HVR56" s="245"/>
      <c r="HVS56" s="245"/>
      <c r="HVT56" s="245"/>
      <c r="HVU56" s="245"/>
      <c r="HVV56" s="245"/>
      <c r="HVW56" s="245"/>
      <c r="HVX56" s="245"/>
      <c r="HVY56" s="245"/>
      <c r="HVZ56" s="245"/>
      <c r="HWA56" s="245"/>
      <c r="HWB56" s="245"/>
      <c r="HWC56" s="245"/>
      <c r="HWD56" s="245"/>
      <c r="HWE56" s="245"/>
      <c r="HWF56" s="245"/>
      <c r="HWG56" s="245"/>
      <c r="HWH56" s="245"/>
      <c r="HWI56" s="245"/>
      <c r="HWJ56" s="245"/>
      <c r="HWK56" s="245"/>
      <c r="HWL56" s="245"/>
      <c r="HWM56" s="245"/>
      <c r="HWN56" s="245"/>
      <c r="HWO56" s="245"/>
      <c r="HWP56" s="245"/>
      <c r="HWQ56" s="245"/>
      <c r="HWR56" s="245"/>
      <c r="HWS56" s="245"/>
      <c r="HWT56" s="245"/>
      <c r="HWU56" s="245"/>
      <c r="HWV56" s="245"/>
      <c r="HWW56" s="245"/>
      <c r="HWX56" s="245"/>
      <c r="HWY56" s="245"/>
      <c r="HWZ56" s="245"/>
      <c r="HXA56" s="245"/>
      <c r="HXB56" s="245"/>
      <c r="HXC56" s="245"/>
      <c r="HXD56" s="245"/>
      <c r="HXE56" s="245"/>
      <c r="HXF56" s="245"/>
      <c r="HXG56" s="245"/>
      <c r="HXH56" s="245"/>
      <c r="HXI56" s="245"/>
      <c r="HXJ56" s="245"/>
      <c r="HXK56" s="245"/>
      <c r="HXL56" s="245"/>
      <c r="HXM56" s="245"/>
      <c r="HXN56" s="245"/>
      <c r="HXO56" s="245"/>
      <c r="HXP56" s="245"/>
      <c r="HXQ56" s="245"/>
      <c r="HXR56" s="245"/>
      <c r="HXS56" s="245"/>
      <c r="HXT56" s="245"/>
      <c r="HXU56" s="245"/>
      <c r="HXV56" s="245"/>
      <c r="HXW56" s="245"/>
      <c r="HXX56" s="245"/>
      <c r="HXY56" s="245"/>
      <c r="HXZ56" s="245"/>
      <c r="HYA56" s="245"/>
      <c r="HYB56" s="245"/>
      <c r="HYC56" s="245"/>
      <c r="HYD56" s="245"/>
      <c r="HYE56" s="245"/>
      <c r="HYF56" s="245"/>
      <c r="HYG56" s="245"/>
      <c r="HYH56" s="245"/>
      <c r="HYI56" s="245"/>
      <c r="HYJ56" s="245"/>
      <c r="HYK56" s="245"/>
      <c r="HYL56" s="245"/>
      <c r="HYM56" s="245"/>
      <c r="HYN56" s="245"/>
      <c r="HYO56" s="245"/>
      <c r="HYP56" s="245"/>
      <c r="HYQ56" s="245"/>
      <c r="HYR56" s="245"/>
      <c r="HYS56" s="245"/>
      <c r="HYT56" s="245"/>
      <c r="HYU56" s="245"/>
      <c r="HYV56" s="245"/>
      <c r="HYW56" s="245"/>
      <c r="HYX56" s="245"/>
      <c r="HYY56" s="245"/>
      <c r="HYZ56" s="245"/>
      <c r="HZA56" s="245"/>
      <c r="HZB56" s="245"/>
      <c r="HZC56" s="245"/>
      <c r="HZD56" s="245"/>
      <c r="HZE56" s="245"/>
      <c r="HZF56" s="245"/>
      <c r="HZG56" s="245"/>
      <c r="HZH56" s="245"/>
      <c r="HZI56" s="245"/>
      <c r="HZJ56" s="245"/>
      <c r="HZK56" s="245"/>
      <c r="HZL56" s="245"/>
      <c r="HZM56" s="245"/>
      <c r="HZN56" s="245"/>
      <c r="HZO56" s="245"/>
      <c r="HZP56" s="245"/>
      <c r="HZQ56" s="245"/>
      <c r="HZR56" s="245"/>
      <c r="HZS56" s="245"/>
      <c r="HZT56" s="245"/>
      <c r="HZU56" s="245"/>
      <c r="HZV56" s="245"/>
      <c r="HZW56" s="245"/>
      <c r="HZX56" s="245"/>
      <c r="HZY56" s="245"/>
      <c r="HZZ56" s="245"/>
      <c r="IAA56" s="245"/>
      <c r="IAB56" s="245"/>
      <c r="IAC56" s="245"/>
      <c r="IAD56" s="245"/>
      <c r="IAE56" s="245"/>
      <c r="IAF56" s="245"/>
      <c r="IAG56" s="245"/>
      <c r="IAH56" s="245"/>
      <c r="IAI56" s="245"/>
      <c r="IAJ56" s="245"/>
      <c r="IAK56" s="245"/>
      <c r="IAL56" s="245"/>
      <c r="IAM56" s="245"/>
      <c r="IAN56" s="245"/>
      <c r="IAO56" s="245"/>
      <c r="IAP56" s="245"/>
      <c r="IAQ56" s="245"/>
      <c r="IAR56" s="245"/>
      <c r="IAS56" s="245"/>
      <c r="IAT56" s="245"/>
      <c r="IAU56" s="245"/>
      <c r="IAV56" s="245"/>
      <c r="IAW56" s="245"/>
      <c r="IAX56" s="245"/>
      <c r="IAY56" s="245"/>
      <c r="IAZ56" s="245"/>
      <c r="IBA56" s="245"/>
      <c r="IBB56" s="245"/>
      <c r="IBC56" s="245"/>
      <c r="IBD56" s="245"/>
      <c r="IBE56" s="245"/>
      <c r="IBF56" s="245"/>
      <c r="IBG56" s="245"/>
      <c r="IBH56" s="245"/>
      <c r="IBI56" s="245"/>
      <c r="IBJ56" s="245"/>
      <c r="IBK56" s="245"/>
      <c r="IBL56" s="245"/>
      <c r="IBM56" s="245"/>
      <c r="IBN56" s="245"/>
      <c r="IBO56" s="245"/>
      <c r="IBP56" s="245"/>
      <c r="IBQ56" s="245"/>
      <c r="IBR56" s="245"/>
      <c r="IBS56" s="245"/>
      <c r="IBT56" s="245"/>
      <c r="IBU56" s="245"/>
      <c r="IBV56" s="245"/>
      <c r="IBW56" s="245"/>
      <c r="IBX56" s="245"/>
      <c r="IBY56" s="245"/>
      <c r="IBZ56" s="245"/>
      <c r="ICA56" s="245"/>
      <c r="ICB56" s="245"/>
      <c r="ICC56" s="245"/>
      <c r="ICD56" s="245"/>
      <c r="ICE56" s="245"/>
      <c r="ICF56" s="245"/>
      <c r="ICG56" s="245"/>
      <c r="ICH56" s="245"/>
      <c r="ICI56" s="245"/>
      <c r="ICJ56" s="245"/>
      <c r="ICK56" s="245"/>
      <c r="ICL56" s="245"/>
      <c r="ICM56" s="245"/>
      <c r="ICN56" s="245"/>
      <c r="ICO56" s="245"/>
      <c r="ICP56" s="245"/>
      <c r="ICQ56" s="245"/>
      <c r="ICR56" s="245"/>
      <c r="ICS56" s="245"/>
      <c r="ICT56" s="245"/>
      <c r="ICU56" s="245"/>
      <c r="ICV56" s="245"/>
      <c r="ICW56" s="245"/>
      <c r="ICX56" s="245"/>
      <c r="ICY56" s="245"/>
      <c r="ICZ56" s="245"/>
      <c r="IDA56" s="245"/>
      <c r="IDB56" s="245"/>
      <c r="IDC56" s="245"/>
      <c r="IDD56" s="245"/>
      <c r="IDE56" s="245"/>
      <c r="IDF56" s="245"/>
      <c r="IDG56" s="245"/>
      <c r="IDH56" s="245"/>
      <c r="IDI56" s="245"/>
      <c r="IDJ56" s="245"/>
      <c r="IDK56" s="245"/>
      <c r="IDL56" s="245"/>
      <c r="IDM56" s="245"/>
      <c r="IDN56" s="245"/>
      <c r="IDO56" s="245"/>
      <c r="IDP56" s="245"/>
      <c r="IDQ56" s="245"/>
      <c r="IDR56" s="245"/>
      <c r="IDS56" s="245"/>
      <c r="IDT56" s="245"/>
      <c r="IDU56" s="245"/>
      <c r="IDV56" s="245"/>
      <c r="IDW56" s="245"/>
      <c r="IDX56" s="245"/>
      <c r="IDY56" s="245"/>
      <c r="IDZ56" s="245"/>
      <c r="IEA56" s="245"/>
      <c r="IEB56" s="245"/>
      <c r="IEC56" s="245"/>
      <c r="IED56" s="245"/>
      <c r="IEE56" s="245"/>
      <c r="IEF56" s="245"/>
      <c r="IEG56" s="245"/>
      <c r="IEH56" s="245"/>
      <c r="IEI56" s="245"/>
      <c r="IEJ56" s="245"/>
      <c r="IEK56" s="245"/>
      <c r="IEL56" s="245"/>
      <c r="IEM56" s="245"/>
      <c r="IEN56" s="245"/>
      <c r="IEO56" s="245"/>
      <c r="IEP56" s="245"/>
      <c r="IEQ56" s="245"/>
      <c r="IER56" s="245"/>
      <c r="IES56" s="245"/>
      <c r="IET56" s="245"/>
      <c r="IEU56" s="245"/>
      <c r="IEV56" s="245"/>
      <c r="IEW56" s="245"/>
      <c r="IEX56" s="245"/>
      <c r="IEY56" s="245"/>
      <c r="IEZ56" s="245"/>
      <c r="IFA56" s="245"/>
      <c r="IFB56" s="245"/>
      <c r="IFC56" s="245"/>
      <c r="IFD56" s="245"/>
      <c r="IFE56" s="245"/>
      <c r="IFF56" s="245"/>
      <c r="IFG56" s="245"/>
      <c r="IFH56" s="245"/>
      <c r="IFI56" s="245"/>
      <c r="IFJ56" s="245"/>
      <c r="IFK56" s="245"/>
      <c r="IFL56" s="245"/>
      <c r="IFM56" s="245"/>
      <c r="IFN56" s="245"/>
      <c r="IFO56" s="245"/>
      <c r="IFP56" s="245"/>
      <c r="IFQ56" s="245"/>
      <c r="IFR56" s="245"/>
      <c r="IFS56" s="245"/>
      <c r="IFT56" s="245"/>
      <c r="IFU56" s="245"/>
      <c r="IFV56" s="245"/>
      <c r="IFW56" s="245"/>
      <c r="IFX56" s="245"/>
      <c r="IFY56" s="245"/>
      <c r="IFZ56" s="245"/>
      <c r="IGA56" s="245"/>
      <c r="IGB56" s="245"/>
      <c r="IGC56" s="245"/>
      <c r="IGD56" s="245"/>
      <c r="IGE56" s="245"/>
      <c r="IGF56" s="245"/>
      <c r="IGG56" s="245"/>
      <c r="IGH56" s="245"/>
      <c r="IGI56" s="245"/>
      <c r="IGJ56" s="245"/>
      <c r="IGK56" s="245"/>
      <c r="IGL56" s="245"/>
      <c r="IGM56" s="245"/>
      <c r="IGN56" s="245"/>
      <c r="IGO56" s="245"/>
      <c r="IGP56" s="245"/>
      <c r="IGQ56" s="245"/>
      <c r="IGR56" s="245"/>
      <c r="IGS56" s="245"/>
      <c r="IGT56" s="245"/>
      <c r="IGU56" s="245"/>
      <c r="IGV56" s="245"/>
      <c r="IGW56" s="245"/>
      <c r="IGX56" s="245"/>
      <c r="IGY56" s="245"/>
      <c r="IGZ56" s="245"/>
      <c r="IHA56" s="245"/>
      <c r="IHB56" s="245"/>
      <c r="IHC56" s="245"/>
      <c r="IHD56" s="245"/>
      <c r="IHE56" s="245"/>
      <c r="IHF56" s="245"/>
      <c r="IHG56" s="245"/>
      <c r="IHH56" s="245"/>
      <c r="IHI56" s="245"/>
      <c r="IHJ56" s="245"/>
      <c r="IHK56" s="245"/>
      <c r="IHL56" s="245"/>
      <c r="IHM56" s="245"/>
      <c r="IHN56" s="245"/>
      <c r="IHO56" s="245"/>
      <c r="IHP56" s="245"/>
      <c r="IHQ56" s="245"/>
      <c r="IHR56" s="245"/>
      <c r="IHS56" s="245"/>
      <c r="IHT56" s="245"/>
      <c r="IHU56" s="245"/>
      <c r="IHV56" s="245"/>
      <c r="IHW56" s="245"/>
      <c r="IHX56" s="245"/>
      <c r="IHY56" s="245"/>
      <c r="IHZ56" s="245"/>
      <c r="IIA56" s="245"/>
      <c r="IIB56" s="245"/>
      <c r="IIC56" s="245"/>
      <c r="IID56" s="245"/>
      <c r="IIE56" s="245"/>
      <c r="IIF56" s="245"/>
      <c r="IIG56" s="245"/>
      <c r="IIH56" s="245"/>
      <c r="III56" s="245"/>
      <c r="IIJ56" s="245"/>
      <c r="IIK56" s="245"/>
      <c r="IIL56" s="245"/>
      <c r="IIM56" s="245"/>
      <c r="IIN56" s="245"/>
      <c r="IIO56" s="245"/>
      <c r="IIP56" s="245"/>
      <c r="IIQ56" s="245"/>
      <c r="IIR56" s="245"/>
      <c r="IIS56" s="245"/>
      <c r="IIT56" s="245"/>
      <c r="IIU56" s="245"/>
      <c r="IIV56" s="245"/>
      <c r="IIW56" s="245"/>
      <c r="IIX56" s="245"/>
      <c r="IIY56" s="245"/>
      <c r="IIZ56" s="245"/>
      <c r="IJA56" s="245"/>
      <c r="IJB56" s="245"/>
      <c r="IJC56" s="245"/>
      <c r="IJD56" s="245"/>
      <c r="IJE56" s="245"/>
      <c r="IJF56" s="245"/>
      <c r="IJG56" s="245"/>
      <c r="IJH56" s="245"/>
      <c r="IJI56" s="245"/>
      <c r="IJJ56" s="245"/>
      <c r="IJK56" s="245"/>
      <c r="IJL56" s="245"/>
      <c r="IJM56" s="245"/>
      <c r="IJN56" s="245"/>
      <c r="IJO56" s="245"/>
      <c r="IJP56" s="245"/>
      <c r="IJQ56" s="245"/>
      <c r="IJR56" s="245"/>
      <c r="IJS56" s="245"/>
      <c r="IJT56" s="245"/>
      <c r="IJU56" s="245"/>
      <c r="IJV56" s="245"/>
      <c r="IJW56" s="245"/>
      <c r="IJX56" s="245"/>
      <c r="IJY56" s="245"/>
      <c r="IJZ56" s="245"/>
      <c r="IKA56" s="245"/>
      <c r="IKB56" s="245"/>
      <c r="IKC56" s="245"/>
      <c r="IKD56" s="245"/>
      <c r="IKE56" s="245"/>
      <c r="IKF56" s="245"/>
      <c r="IKG56" s="245"/>
      <c r="IKH56" s="245"/>
      <c r="IKI56" s="245"/>
      <c r="IKJ56" s="245"/>
      <c r="IKK56" s="245"/>
      <c r="IKL56" s="245"/>
      <c r="IKM56" s="245"/>
      <c r="IKN56" s="245"/>
      <c r="IKO56" s="245"/>
      <c r="IKP56" s="245"/>
      <c r="IKQ56" s="245"/>
      <c r="IKR56" s="245"/>
      <c r="IKS56" s="245"/>
      <c r="IKT56" s="245"/>
      <c r="IKU56" s="245"/>
      <c r="IKV56" s="245"/>
      <c r="IKW56" s="245"/>
      <c r="IKX56" s="245"/>
      <c r="IKY56" s="245"/>
      <c r="IKZ56" s="245"/>
      <c r="ILA56" s="245"/>
      <c r="ILB56" s="245"/>
      <c r="ILC56" s="245"/>
      <c r="ILD56" s="245"/>
      <c r="ILE56" s="245"/>
      <c r="ILF56" s="245"/>
      <c r="ILG56" s="245"/>
      <c r="ILH56" s="245"/>
      <c r="ILI56" s="245"/>
      <c r="ILJ56" s="245"/>
      <c r="ILK56" s="245"/>
      <c r="ILL56" s="245"/>
      <c r="ILM56" s="245"/>
      <c r="ILN56" s="245"/>
      <c r="ILO56" s="245"/>
      <c r="ILP56" s="245"/>
      <c r="ILQ56" s="245"/>
      <c r="ILR56" s="245"/>
      <c r="ILS56" s="245"/>
      <c r="ILT56" s="245"/>
      <c r="ILU56" s="245"/>
      <c r="ILV56" s="245"/>
      <c r="ILW56" s="245"/>
      <c r="ILX56" s="245"/>
      <c r="ILY56" s="245"/>
      <c r="ILZ56" s="245"/>
      <c r="IMA56" s="245"/>
      <c r="IMB56" s="245"/>
      <c r="IMC56" s="245"/>
      <c r="IMD56" s="245"/>
      <c r="IME56" s="245"/>
      <c r="IMF56" s="245"/>
      <c r="IMG56" s="245"/>
      <c r="IMH56" s="245"/>
      <c r="IMI56" s="245"/>
      <c r="IMJ56" s="245"/>
      <c r="IMK56" s="245"/>
      <c r="IML56" s="245"/>
      <c r="IMM56" s="245"/>
      <c r="IMN56" s="245"/>
      <c r="IMO56" s="245"/>
      <c r="IMP56" s="245"/>
      <c r="IMQ56" s="245"/>
      <c r="IMR56" s="245"/>
      <c r="IMS56" s="245"/>
      <c r="IMT56" s="245"/>
      <c r="IMU56" s="245"/>
      <c r="IMV56" s="245"/>
      <c r="IMW56" s="245"/>
      <c r="IMX56" s="245"/>
      <c r="IMY56" s="245"/>
      <c r="IMZ56" s="245"/>
      <c r="INA56" s="245"/>
      <c r="INB56" s="245"/>
      <c r="INC56" s="245"/>
      <c r="IND56" s="245"/>
      <c r="INE56" s="245"/>
      <c r="INF56" s="245"/>
      <c r="ING56" s="245"/>
      <c r="INH56" s="245"/>
      <c r="INI56" s="245"/>
      <c r="INJ56" s="245"/>
      <c r="INK56" s="245"/>
      <c r="INL56" s="245"/>
      <c r="INM56" s="245"/>
      <c r="INN56" s="245"/>
      <c r="INO56" s="245"/>
      <c r="INP56" s="245"/>
      <c r="INQ56" s="245"/>
      <c r="INR56" s="245"/>
      <c r="INS56" s="245"/>
      <c r="INT56" s="245"/>
      <c r="INU56" s="245"/>
      <c r="INV56" s="245"/>
      <c r="INW56" s="245"/>
      <c r="INX56" s="245"/>
      <c r="INY56" s="245"/>
      <c r="INZ56" s="245"/>
      <c r="IOA56" s="245"/>
      <c r="IOB56" s="245"/>
      <c r="IOC56" s="245"/>
      <c r="IOD56" s="245"/>
      <c r="IOE56" s="245"/>
      <c r="IOF56" s="245"/>
      <c r="IOG56" s="245"/>
      <c r="IOH56" s="245"/>
      <c r="IOI56" s="245"/>
      <c r="IOJ56" s="245"/>
      <c r="IOK56" s="245"/>
      <c r="IOL56" s="245"/>
      <c r="IOM56" s="245"/>
      <c r="ION56" s="245"/>
      <c r="IOO56" s="245"/>
      <c r="IOP56" s="245"/>
      <c r="IOQ56" s="245"/>
      <c r="IOR56" s="245"/>
      <c r="IOS56" s="245"/>
      <c r="IOT56" s="245"/>
      <c r="IOU56" s="245"/>
      <c r="IOV56" s="245"/>
      <c r="IOW56" s="245"/>
      <c r="IOX56" s="245"/>
      <c r="IOY56" s="245"/>
      <c r="IOZ56" s="245"/>
      <c r="IPA56" s="245"/>
      <c r="IPB56" s="245"/>
      <c r="IPC56" s="245"/>
      <c r="IPD56" s="245"/>
      <c r="IPE56" s="245"/>
      <c r="IPF56" s="245"/>
      <c r="IPG56" s="245"/>
      <c r="IPH56" s="245"/>
      <c r="IPI56" s="245"/>
      <c r="IPJ56" s="245"/>
      <c r="IPK56" s="245"/>
      <c r="IPL56" s="245"/>
      <c r="IPM56" s="245"/>
      <c r="IPN56" s="245"/>
      <c r="IPO56" s="245"/>
      <c r="IPP56" s="245"/>
      <c r="IPQ56" s="245"/>
      <c r="IPR56" s="245"/>
      <c r="IPS56" s="245"/>
      <c r="IPT56" s="245"/>
      <c r="IPU56" s="245"/>
      <c r="IPV56" s="245"/>
      <c r="IPW56" s="245"/>
      <c r="IPX56" s="245"/>
      <c r="IPY56" s="245"/>
      <c r="IPZ56" s="245"/>
      <c r="IQA56" s="245"/>
      <c r="IQB56" s="245"/>
      <c r="IQC56" s="245"/>
      <c r="IQD56" s="245"/>
      <c r="IQE56" s="245"/>
      <c r="IQF56" s="245"/>
      <c r="IQG56" s="245"/>
      <c r="IQH56" s="245"/>
      <c r="IQI56" s="245"/>
      <c r="IQJ56" s="245"/>
      <c r="IQK56" s="245"/>
      <c r="IQL56" s="245"/>
      <c r="IQM56" s="245"/>
      <c r="IQN56" s="245"/>
      <c r="IQO56" s="245"/>
      <c r="IQP56" s="245"/>
      <c r="IQQ56" s="245"/>
      <c r="IQR56" s="245"/>
      <c r="IQS56" s="245"/>
      <c r="IQT56" s="245"/>
      <c r="IQU56" s="245"/>
      <c r="IQV56" s="245"/>
      <c r="IQW56" s="245"/>
      <c r="IQX56" s="245"/>
      <c r="IQY56" s="245"/>
      <c r="IQZ56" s="245"/>
      <c r="IRA56" s="245"/>
      <c r="IRB56" s="245"/>
      <c r="IRC56" s="245"/>
      <c r="IRD56" s="245"/>
      <c r="IRE56" s="245"/>
      <c r="IRF56" s="245"/>
      <c r="IRG56" s="245"/>
      <c r="IRH56" s="245"/>
      <c r="IRI56" s="245"/>
      <c r="IRJ56" s="245"/>
      <c r="IRK56" s="245"/>
      <c r="IRL56" s="245"/>
      <c r="IRM56" s="245"/>
      <c r="IRN56" s="245"/>
      <c r="IRO56" s="245"/>
      <c r="IRP56" s="245"/>
      <c r="IRQ56" s="245"/>
      <c r="IRR56" s="245"/>
      <c r="IRS56" s="245"/>
      <c r="IRT56" s="245"/>
      <c r="IRU56" s="245"/>
      <c r="IRV56" s="245"/>
      <c r="IRW56" s="245"/>
      <c r="IRX56" s="245"/>
      <c r="IRY56" s="245"/>
      <c r="IRZ56" s="245"/>
      <c r="ISA56" s="245"/>
      <c r="ISB56" s="245"/>
      <c r="ISC56" s="245"/>
      <c r="ISD56" s="245"/>
      <c r="ISE56" s="245"/>
      <c r="ISF56" s="245"/>
      <c r="ISG56" s="245"/>
      <c r="ISH56" s="245"/>
      <c r="ISI56" s="245"/>
      <c r="ISJ56" s="245"/>
      <c r="ISK56" s="245"/>
      <c r="ISL56" s="245"/>
      <c r="ISM56" s="245"/>
      <c r="ISN56" s="245"/>
      <c r="ISO56" s="245"/>
      <c r="ISP56" s="245"/>
      <c r="ISQ56" s="245"/>
      <c r="ISR56" s="245"/>
      <c r="ISS56" s="245"/>
      <c r="IST56" s="245"/>
      <c r="ISU56" s="245"/>
      <c r="ISV56" s="245"/>
      <c r="ISW56" s="245"/>
      <c r="ISX56" s="245"/>
      <c r="ISY56" s="245"/>
      <c r="ISZ56" s="245"/>
      <c r="ITA56" s="245"/>
      <c r="ITB56" s="245"/>
      <c r="ITC56" s="245"/>
      <c r="ITD56" s="245"/>
      <c r="ITE56" s="245"/>
      <c r="ITF56" s="245"/>
      <c r="ITG56" s="245"/>
      <c r="ITH56" s="245"/>
      <c r="ITI56" s="245"/>
      <c r="ITJ56" s="245"/>
      <c r="ITK56" s="245"/>
      <c r="ITL56" s="245"/>
      <c r="ITM56" s="245"/>
      <c r="ITN56" s="245"/>
      <c r="ITO56" s="245"/>
      <c r="ITP56" s="245"/>
      <c r="ITQ56" s="245"/>
      <c r="ITR56" s="245"/>
      <c r="ITS56" s="245"/>
      <c r="ITT56" s="245"/>
      <c r="ITU56" s="245"/>
      <c r="ITV56" s="245"/>
      <c r="ITW56" s="245"/>
      <c r="ITX56" s="245"/>
      <c r="ITY56" s="245"/>
      <c r="ITZ56" s="245"/>
      <c r="IUA56" s="245"/>
      <c r="IUB56" s="245"/>
      <c r="IUC56" s="245"/>
      <c r="IUD56" s="245"/>
      <c r="IUE56" s="245"/>
      <c r="IUF56" s="245"/>
      <c r="IUG56" s="245"/>
      <c r="IUH56" s="245"/>
      <c r="IUI56" s="245"/>
      <c r="IUJ56" s="245"/>
      <c r="IUK56" s="245"/>
      <c r="IUL56" s="245"/>
      <c r="IUM56" s="245"/>
      <c r="IUN56" s="245"/>
      <c r="IUO56" s="245"/>
      <c r="IUP56" s="245"/>
      <c r="IUQ56" s="245"/>
      <c r="IUR56" s="245"/>
      <c r="IUS56" s="245"/>
      <c r="IUT56" s="245"/>
      <c r="IUU56" s="245"/>
      <c r="IUV56" s="245"/>
      <c r="IUW56" s="245"/>
      <c r="IUX56" s="245"/>
      <c r="IUY56" s="245"/>
      <c r="IUZ56" s="245"/>
      <c r="IVA56" s="245"/>
      <c r="IVB56" s="245"/>
      <c r="IVC56" s="245"/>
      <c r="IVD56" s="245"/>
      <c r="IVE56" s="245"/>
      <c r="IVF56" s="245"/>
      <c r="IVG56" s="245"/>
      <c r="IVH56" s="245"/>
      <c r="IVI56" s="245"/>
      <c r="IVJ56" s="245"/>
      <c r="IVK56" s="245"/>
      <c r="IVL56" s="245"/>
      <c r="IVM56" s="245"/>
      <c r="IVN56" s="245"/>
      <c r="IVO56" s="245"/>
      <c r="IVP56" s="245"/>
      <c r="IVQ56" s="245"/>
      <c r="IVR56" s="245"/>
      <c r="IVS56" s="245"/>
      <c r="IVT56" s="245"/>
      <c r="IVU56" s="245"/>
      <c r="IVV56" s="245"/>
      <c r="IVW56" s="245"/>
      <c r="IVX56" s="245"/>
      <c r="IVY56" s="245"/>
      <c r="IVZ56" s="245"/>
      <c r="IWA56" s="245"/>
      <c r="IWB56" s="245"/>
      <c r="IWC56" s="245"/>
      <c r="IWD56" s="245"/>
      <c r="IWE56" s="245"/>
      <c r="IWF56" s="245"/>
      <c r="IWG56" s="245"/>
      <c r="IWH56" s="245"/>
      <c r="IWI56" s="245"/>
      <c r="IWJ56" s="245"/>
      <c r="IWK56" s="245"/>
      <c r="IWL56" s="245"/>
      <c r="IWM56" s="245"/>
      <c r="IWN56" s="245"/>
      <c r="IWO56" s="245"/>
      <c r="IWP56" s="245"/>
      <c r="IWQ56" s="245"/>
      <c r="IWR56" s="245"/>
      <c r="IWS56" s="245"/>
      <c r="IWT56" s="245"/>
      <c r="IWU56" s="245"/>
      <c r="IWV56" s="245"/>
      <c r="IWW56" s="245"/>
      <c r="IWX56" s="245"/>
      <c r="IWY56" s="245"/>
      <c r="IWZ56" s="245"/>
      <c r="IXA56" s="245"/>
      <c r="IXB56" s="245"/>
      <c r="IXC56" s="245"/>
      <c r="IXD56" s="245"/>
      <c r="IXE56" s="245"/>
      <c r="IXF56" s="245"/>
      <c r="IXG56" s="245"/>
      <c r="IXH56" s="245"/>
      <c r="IXI56" s="245"/>
      <c r="IXJ56" s="245"/>
      <c r="IXK56" s="245"/>
      <c r="IXL56" s="245"/>
      <c r="IXM56" s="245"/>
      <c r="IXN56" s="245"/>
      <c r="IXO56" s="245"/>
      <c r="IXP56" s="245"/>
      <c r="IXQ56" s="245"/>
      <c r="IXR56" s="245"/>
      <c r="IXS56" s="245"/>
      <c r="IXT56" s="245"/>
      <c r="IXU56" s="245"/>
      <c r="IXV56" s="245"/>
      <c r="IXW56" s="245"/>
      <c r="IXX56" s="245"/>
      <c r="IXY56" s="245"/>
      <c r="IXZ56" s="245"/>
      <c r="IYA56" s="245"/>
      <c r="IYB56" s="245"/>
      <c r="IYC56" s="245"/>
      <c r="IYD56" s="245"/>
      <c r="IYE56" s="245"/>
      <c r="IYF56" s="245"/>
      <c r="IYG56" s="245"/>
      <c r="IYH56" s="245"/>
      <c r="IYI56" s="245"/>
      <c r="IYJ56" s="245"/>
      <c r="IYK56" s="245"/>
      <c r="IYL56" s="245"/>
      <c r="IYM56" s="245"/>
      <c r="IYN56" s="245"/>
      <c r="IYO56" s="245"/>
      <c r="IYP56" s="245"/>
      <c r="IYQ56" s="245"/>
      <c r="IYR56" s="245"/>
      <c r="IYS56" s="245"/>
      <c r="IYT56" s="245"/>
      <c r="IYU56" s="245"/>
      <c r="IYV56" s="245"/>
      <c r="IYW56" s="245"/>
      <c r="IYX56" s="245"/>
      <c r="IYY56" s="245"/>
      <c r="IYZ56" s="245"/>
      <c r="IZA56" s="245"/>
      <c r="IZB56" s="245"/>
      <c r="IZC56" s="245"/>
      <c r="IZD56" s="245"/>
      <c r="IZE56" s="245"/>
      <c r="IZF56" s="245"/>
      <c r="IZG56" s="245"/>
      <c r="IZH56" s="245"/>
      <c r="IZI56" s="245"/>
      <c r="IZJ56" s="245"/>
      <c r="IZK56" s="245"/>
      <c r="IZL56" s="245"/>
      <c r="IZM56" s="245"/>
      <c r="IZN56" s="245"/>
      <c r="IZO56" s="245"/>
      <c r="IZP56" s="245"/>
      <c r="IZQ56" s="245"/>
      <c r="IZR56" s="245"/>
      <c r="IZS56" s="245"/>
      <c r="IZT56" s="245"/>
      <c r="IZU56" s="245"/>
      <c r="IZV56" s="245"/>
      <c r="IZW56" s="245"/>
      <c r="IZX56" s="245"/>
      <c r="IZY56" s="245"/>
      <c r="IZZ56" s="245"/>
      <c r="JAA56" s="245"/>
      <c r="JAB56" s="245"/>
      <c r="JAC56" s="245"/>
      <c r="JAD56" s="245"/>
      <c r="JAE56" s="245"/>
      <c r="JAF56" s="245"/>
      <c r="JAG56" s="245"/>
      <c r="JAH56" s="245"/>
      <c r="JAI56" s="245"/>
      <c r="JAJ56" s="245"/>
      <c r="JAK56" s="245"/>
      <c r="JAL56" s="245"/>
      <c r="JAM56" s="245"/>
      <c r="JAN56" s="245"/>
      <c r="JAO56" s="245"/>
      <c r="JAP56" s="245"/>
      <c r="JAQ56" s="245"/>
      <c r="JAR56" s="245"/>
      <c r="JAS56" s="245"/>
      <c r="JAT56" s="245"/>
      <c r="JAU56" s="245"/>
      <c r="JAV56" s="245"/>
      <c r="JAW56" s="245"/>
      <c r="JAX56" s="245"/>
      <c r="JAY56" s="245"/>
      <c r="JAZ56" s="245"/>
      <c r="JBA56" s="245"/>
      <c r="JBB56" s="245"/>
      <c r="JBC56" s="245"/>
      <c r="JBD56" s="245"/>
      <c r="JBE56" s="245"/>
      <c r="JBF56" s="245"/>
      <c r="JBG56" s="245"/>
      <c r="JBH56" s="245"/>
      <c r="JBI56" s="245"/>
      <c r="JBJ56" s="245"/>
      <c r="JBK56" s="245"/>
      <c r="JBL56" s="245"/>
      <c r="JBM56" s="245"/>
      <c r="JBN56" s="245"/>
      <c r="JBO56" s="245"/>
      <c r="JBP56" s="245"/>
      <c r="JBQ56" s="245"/>
      <c r="JBR56" s="245"/>
      <c r="JBS56" s="245"/>
      <c r="JBT56" s="245"/>
      <c r="JBU56" s="245"/>
      <c r="JBV56" s="245"/>
      <c r="JBW56" s="245"/>
      <c r="JBX56" s="245"/>
      <c r="JBY56" s="245"/>
      <c r="JBZ56" s="245"/>
      <c r="JCA56" s="245"/>
      <c r="JCB56" s="245"/>
      <c r="JCC56" s="245"/>
      <c r="JCD56" s="245"/>
      <c r="JCE56" s="245"/>
      <c r="JCF56" s="245"/>
      <c r="JCG56" s="245"/>
      <c r="JCH56" s="245"/>
      <c r="JCI56" s="245"/>
      <c r="JCJ56" s="245"/>
      <c r="JCK56" s="245"/>
      <c r="JCL56" s="245"/>
      <c r="JCM56" s="245"/>
      <c r="JCN56" s="245"/>
      <c r="JCO56" s="245"/>
      <c r="JCP56" s="245"/>
      <c r="JCQ56" s="245"/>
      <c r="JCR56" s="245"/>
      <c r="JCS56" s="245"/>
      <c r="JCT56" s="245"/>
      <c r="JCU56" s="245"/>
      <c r="JCV56" s="245"/>
      <c r="JCW56" s="245"/>
      <c r="JCX56" s="245"/>
      <c r="JCY56" s="245"/>
      <c r="JCZ56" s="245"/>
      <c r="JDA56" s="245"/>
      <c r="JDB56" s="245"/>
      <c r="JDC56" s="245"/>
      <c r="JDD56" s="245"/>
      <c r="JDE56" s="245"/>
      <c r="JDF56" s="245"/>
      <c r="JDG56" s="245"/>
      <c r="JDH56" s="245"/>
      <c r="JDI56" s="245"/>
      <c r="JDJ56" s="245"/>
      <c r="JDK56" s="245"/>
      <c r="JDL56" s="245"/>
      <c r="JDM56" s="245"/>
      <c r="JDN56" s="245"/>
      <c r="JDO56" s="245"/>
      <c r="JDP56" s="245"/>
      <c r="JDQ56" s="245"/>
      <c r="JDR56" s="245"/>
      <c r="JDS56" s="245"/>
      <c r="JDT56" s="245"/>
      <c r="JDU56" s="245"/>
      <c r="JDV56" s="245"/>
      <c r="JDW56" s="245"/>
      <c r="JDX56" s="245"/>
      <c r="JDY56" s="245"/>
      <c r="JDZ56" s="245"/>
      <c r="JEA56" s="245"/>
      <c r="JEB56" s="245"/>
      <c r="JEC56" s="245"/>
      <c r="JED56" s="245"/>
      <c r="JEE56" s="245"/>
      <c r="JEF56" s="245"/>
      <c r="JEG56" s="245"/>
      <c r="JEH56" s="245"/>
      <c r="JEI56" s="245"/>
      <c r="JEJ56" s="245"/>
      <c r="JEK56" s="245"/>
      <c r="JEL56" s="245"/>
      <c r="JEM56" s="245"/>
      <c r="JEN56" s="245"/>
      <c r="JEO56" s="245"/>
      <c r="JEP56" s="245"/>
      <c r="JEQ56" s="245"/>
      <c r="JER56" s="245"/>
      <c r="JES56" s="245"/>
      <c r="JET56" s="245"/>
      <c r="JEU56" s="245"/>
      <c r="JEV56" s="245"/>
      <c r="JEW56" s="245"/>
      <c r="JEX56" s="245"/>
      <c r="JEY56" s="245"/>
      <c r="JEZ56" s="245"/>
      <c r="JFA56" s="245"/>
      <c r="JFB56" s="245"/>
      <c r="JFC56" s="245"/>
      <c r="JFD56" s="245"/>
      <c r="JFE56" s="245"/>
      <c r="JFF56" s="245"/>
      <c r="JFG56" s="245"/>
      <c r="JFH56" s="245"/>
      <c r="JFI56" s="245"/>
      <c r="JFJ56" s="245"/>
      <c r="JFK56" s="245"/>
      <c r="JFL56" s="245"/>
      <c r="JFM56" s="245"/>
      <c r="JFN56" s="245"/>
      <c r="JFO56" s="245"/>
      <c r="JFP56" s="245"/>
      <c r="JFQ56" s="245"/>
      <c r="JFR56" s="245"/>
      <c r="JFS56" s="245"/>
      <c r="JFT56" s="245"/>
      <c r="JFU56" s="245"/>
      <c r="JFV56" s="245"/>
      <c r="JFW56" s="245"/>
      <c r="JFX56" s="245"/>
      <c r="JFY56" s="245"/>
      <c r="JFZ56" s="245"/>
      <c r="JGA56" s="245"/>
      <c r="JGB56" s="245"/>
      <c r="JGC56" s="245"/>
      <c r="JGD56" s="245"/>
      <c r="JGE56" s="245"/>
      <c r="JGF56" s="245"/>
      <c r="JGG56" s="245"/>
      <c r="JGH56" s="245"/>
      <c r="JGI56" s="245"/>
      <c r="JGJ56" s="245"/>
      <c r="JGK56" s="245"/>
      <c r="JGL56" s="245"/>
      <c r="JGM56" s="245"/>
      <c r="JGN56" s="245"/>
      <c r="JGO56" s="245"/>
      <c r="JGP56" s="245"/>
      <c r="JGQ56" s="245"/>
      <c r="JGR56" s="245"/>
      <c r="JGS56" s="245"/>
      <c r="JGT56" s="245"/>
      <c r="JGU56" s="245"/>
      <c r="JGV56" s="245"/>
      <c r="JGW56" s="245"/>
      <c r="JGX56" s="245"/>
      <c r="JGY56" s="245"/>
      <c r="JGZ56" s="245"/>
      <c r="JHA56" s="245"/>
      <c r="JHB56" s="245"/>
      <c r="JHC56" s="245"/>
      <c r="JHD56" s="245"/>
      <c r="JHE56" s="245"/>
      <c r="JHF56" s="245"/>
      <c r="JHG56" s="245"/>
      <c r="JHH56" s="245"/>
      <c r="JHI56" s="245"/>
      <c r="JHJ56" s="245"/>
      <c r="JHK56" s="245"/>
      <c r="JHL56" s="245"/>
      <c r="JHM56" s="245"/>
      <c r="JHN56" s="245"/>
      <c r="JHO56" s="245"/>
      <c r="JHP56" s="245"/>
      <c r="JHQ56" s="245"/>
      <c r="JHR56" s="245"/>
      <c r="JHS56" s="245"/>
      <c r="JHT56" s="245"/>
      <c r="JHU56" s="245"/>
      <c r="JHV56" s="245"/>
      <c r="JHW56" s="245"/>
      <c r="JHX56" s="245"/>
      <c r="JHY56" s="245"/>
      <c r="JHZ56" s="245"/>
      <c r="JIA56" s="245"/>
      <c r="JIB56" s="245"/>
      <c r="JIC56" s="245"/>
      <c r="JID56" s="245"/>
      <c r="JIE56" s="245"/>
      <c r="JIF56" s="245"/>
      <c r="JIG56" s="245"/>
      <c r="JIH56" s="245"/>
      <c r="JII56" s="245"/>
      <c r="JIJ56" s="245"/>
      <c r="JIK56" s="245"/>
      <c r="JIL56" s="245"/>
      <c r="JIM56" s="245"/>
      <c r="JIN56" s="245"/>
      <c r="JIO56" s="245"/>
      <c r="JIP56" s="245"/>
      <c r="JIQ56" s="245"/>
      <c r="JIR56" s="245"/>
      <c r="JIS56" s="245"/>
      <c r="JIT56" s="245"/>
      <c r="JIU56" s="245"/>
      <c r="JIV56" s="245"/>
      <c r="JIW56" s="245"/>
      <c r="JIX56" s="245"/>
      <c r="JIY56" s="245"/>
      <c r="JIZ56" s="245"/>
      <c r="JJA56" s="245"/>
      <c r="JJB56" s="245"/>
      <c r="JJC56" s="245"/>
      <c r="JJD56" s="245"/>
      <c r="JJE56" s="245"/>
      <c r="JJF56" s="245"/>
      <c r="JJG56" s="245"/>
      <c r="JJH56" s="245"/>
      <c r="JJI56" s="245"/>
      <c r="JJJ56" s="245"/>
      <c r="JJK56" s="245"/>
      <c r="JJL56" s="245"/>
      <c r="JJM56" s="245"/>
      <c r="JJN56" s="245"/>
      <c r="JJO56" s="245"/>
      <c r="JJP56" s="245"/>
      <c r="JJQ56" s="245"/>
      <c r="JJR56" s="245"/>
      <c r="JJS56" s="245"/>
      <c r="JJT56" s="245"/>
      <c r="JJU56" s="245"/>
      <c r="JJV56" s="245"/>
      <c r="JJW56" s="245"/>
      <c r="JJX56" s="245"/>
      <c r="JJY56" s="245"/>
      <c r="JJZ56" s="245"/>
      <c r="JKA56" s="245"/>
      <c r="JKB56" s="245"/>
      <c r="JKC56" s="245"/>
      <c r="JKD56" s="245"/>
      <c r="JKE56" s="245"/>
      <c r="JKF56" s="245"/>
      <c r="JKG56" s="245"/>
      <c r="JKH56" s="245"/>
      <c r="JKI56" s="245"/>
      <c r="JKJ56" s="245"/>
      <c r="JKK56" s="245"/>
      <c r="JKL56" s="245"/>
      <c r="JKM56" s="245"/>
      <c r="JKN56" s="245"/>
      <c r="JKO56" s="245"/>
      <c r="JKP56" s="245"/>
      <c r="JKQ56" s="245"/>
      <c r="JKR56" s="245"/>
      <c r="JKS56" s="245"/>
      <c r="JKT56" s="245"/>
      <c r="JKU56" s="245"/>
      <c r="JKV56" s="245"/>
      <c r="JKW56" s="245"/>
      <c r="JKX56" s="245"/>
      <c r="JKY56" s="245"/>
      <c r="JKZ56" s="245"/>
      <c r="JLA56" s="245"/>
      <c r="JLB56" s="245"/>
      <c r="JLC56" s="245"/>
      <c r="JLD56" s="245"/>
      <c r="JLE56" s="245"/>
      <c r="JLF56" s="245"/>
      <c r="JLG56" s="245"/>
      <c r="JLH56" s="245"/>
      <c r="JLI56" s="245"/>
      <c r="JLJ56" s="245"/>
      <c r="JLK56" s="245"/>
      <c r="JLL56" s="245"/>
      <c r="JLM56" s="245"/>
      <c r="JLN56" s="245"/>
      <c r="JLO56" s="245"/>
      <c r="JLP56" s="245"/>
      <c r="JLQ56" s="245"/>
      <c r="JLR56" s="245"/>
      <c r="JLS56" s="245"/>
      <c r="JLT56" s="245"/>
      <c r="JLU56" s="245"/>
      <c r="JLV56" s="245"/>
      <c r="JLW56" s="245"/>
      <c r="JLX56" s="245"/>
      <c r="JLY56" s="245"/>
      <c r="JLZ56" s="245"/>
      <c r="JMA56" s="245"/>
      <c r="JMB56" s="245"/>
      <c r="JMC56" s="245"/>
      <c r="JMD56" s="245"/>
      <c r="JME56" s="245"/>
      <c r="JMF56" s="245"/>
      <c r="JMG56" s="245"/>
      <c r="JMH56" s="245"/>
      <c r="JMI56" s="245"/>
      <c r="JMJ56" s="245"/>
      <c r="JMK56" s="245"/>
      <c r="JML56" s="245"/>
      <c r="JMM56" s="245"/>
      <c r="JMN56" s="245"/>
      <c r="JMO56" s="245"/>
      <c r="JMP56" s="245"/>
      <c r="JMQ56" s="245"/>
      <c r="JMR56" s="245"/>
      <c r="JMS56" s="245"/>
      <c r="JMT56" s="245"/>
      <c r="JMU56" s="245"/>
      <c r="JMV56" s="245"/>
      <c r="JMW56" s="245"/>
      <c r="JMX56" s="245"/>
      <c r="JMY56" s="245"/>
      <c r="JMZ56" s="245"/>
      <c r="JNA56" s="245"/>
      <c r="JNB56" s="245"/>
      <c r="JNC56" s="245"/>
      <c r="JND56" s="245"/>
      <c r="JNE56" s="245"/>
      <c r="JNF56" s="245"/>
      <c r="JNG56" s="245"/>
      <c r="JNH56" s="245"/>
      <c r="JNI56" s="245"/>
      <c r="JNJ56" s="245"/>
      <c r="JNK56" s="245"/>
      <c r="JNL56" s="245"/>
      <c r="JNM56" s="245"/>
      <c r="JNN56" s="245"/>
      <c r="JNO56" s="245"/>
      <c r="JNP56" s="245"/>
      <c r="JNQ56" s="245"/>
      <c r="JNR56" s="245"/>
      <c r="JNS56" s="245"/>
      <c r="JNT56" s="245"/>
      <c r="JNU56" s="245"/>
      <c r="JNV56" s="245"/>
      <c r="JNW56" s="245"/>
      <c r="JNX56" s="245"/>
      <c r="JNY56" s="245"/>
      <c r="JNZ56" s="245"/>
      <c r="JOA56" s="245"/>
      <c r="JOB56" s="245"/>
      <c r="JOC56" s="245"/>
      <c r="JOD56" s="245"/>
      <c r="JOE56" s="245"/>
      <c r="JOF56" s="245"/>
      <c r="JOG56" s="245"/>
      <c r="JOH56" s="245"/>
      <c r="JOI56" s="245"/>
      <c r="JOJ56" s="245"/>
      <c r="JOK56" s="245"/>
      <c r="JOL56" s="245"/>
      <c r="JOM56" s="245"/>
      <c r="JON56" s="245"/>
      <c r="JOO56" s="245"/>
      <c r="JOP56" s="245"/>
      <c r="JOQ56" s="245"/>
      <c r="JOR56" s="245"/>
      <c r="JOS56" s="245"/>
      <c r="JOT56" s="245"/>
      <c r="JOU56" s="245"/>
      <c r="JOV56" s="245"/>
      <c r="JOW56" s="245"/>
      <c r="JOX56" s="245"/>
      <c r="JOY56" s="245"/>
      <c r="JOZ56" s="245"/>
      <c r="JPA56" s="245"/>
      <c r="JPB56" s="245"/>
      <c r="JPC56" s="245"/>
      <c r="JPD56" s="245"/>
      <c r="JPE56" s="245"/>
      <c r="JPF56" s="245"/>
      <c r="JPG56" s="245"/>
      <c r="JPH56" s="245"/>
      <c r="JPI56" s="245"/>
      <c r="JPJ56" s="245"/>
      <c r="JPK56" s="245"/>
      <c r="JPL56" s="245"/>
      <c r="JPM56" s="245"/>
      <c r="JPN56" s="245"/>
      <c r="JPO56" s="245"/>
      <c r="JPP56" s="245"/>
      <c r="JPQ56" s="245"/>
      <c r="JPR56" s="245"/>
      <c r="JPS56" s="245"/>
      <c r="JPT56" s="245"/>
      <c r="JPU56" s="245"/>
      <c r="JPV56" s="245"/>
      <c r="JPW56" s="245"/>
      <c r="JPX56" s="245"/>
      <c r="JPY56" s="245"/>
      <c r="JPZ56" s="245"/>
      <c r="JQA56" s="245"/>
      <c r="JQB56" s="245"/>
      <c r="JQC56" s="245"/>
      <c r="JQD56" s="245"/>
      <c r="JQE56" s="245"/>
      <c r="JQF56" s="245"/>
      <c r="JQG56" s="245"/>
      <c r="JQH56" s="245"/>
      <c r="JQI56" s="245"/>
      <c r="JQJ56" s="245"/>
      <c r="JQK56" s="245"/>
      <c r="JQL56" s="245"/>
      <c r="JQM56" s="245"/>
      <c r="JQN56" s="245"/>
      <c r="JQO56" s="245"/>
      <c r="JQP56" s="245"/>
      <c r="JQQ56" s="245"/>
      <c r="JQR56" s="245"/>
      <c r="JQS56" s="245"/>
      <c r="JQT56" s="245"/>
      <c r="JQU56" s="245"/>
      <c r="JQV56" s="245"/>
      <c r="JQW56" s="245"/>
      <c r="JQX56" s="245"/>
      <c r="JQY56" s="245"/>
      <c r="JQZ56" s="245"/>
      <c r="JRA56" s="245"/>
      <c r="JRB56" s="245"/>
      <c r="JRC56" s="245"/>
      <c r="JRD56" s="245"/>
      <c r="JRE56" s="245"/>
      <c r="JRF56" s="245"/>
      <c r="JRG56" s="245"/>
      <c r="JRH56" s="245"/>
      <c r="JRI56" s="245"/>
      <c r="JRJ56" s="245"/>
      <c r="JRK56" s="245"/>
      <c r="JRL56" s="245"/>
      <c r="JRM56" s="245"/>
      <c r="JRN56" s="245"/>
      <c r="JRO56" s="245"/>
      <c r="JRP56" s="245"/>
      <c r="JRQ56" s="245"/>
      <c r="JRR56" s="245"/>
      <c r="JRS56" s="245"/>
      <c r="JRT56" s="245"/>
      <c r="JRU56" s="245"/>
      <c r="JRV56" s="245"/>
      <c r="JRW56" s="245"/>
      <c r="JRX56" s="245"/>
      <c r="JRY56" s="245"/>
      <c r="JRZ56" s="245"/>
      <c r="JSA56" s="245"/>
      <c r="JSB56" s="245"/>
      <c r="JSC56" s="245"/>
      <c r="JSD56" s="245"/>
      <c r="JSE56" s="245"/>
      <c r="JSF56" s="245"/>
      <c r="JSG56" s="245"/>
      <c r="JSH56" s="245"/>
      <c r="JSI56" s="245"/>
      <c r="JSJ56" s="245"/>
      <c r="JSK56" s="245"/>
      <c r="JSL56" s="245"/>
      <c r="JSM56" s="245"/>
      <c r="JSN56" s="245"/>
      <c r="JSO56" s="245"/>
      <c r="JSP56" s="245"/>
      <c r="JSQ56" s="245"/>
      <c r="JSR56" s="245"/>
      <c r="JSS56" s="245"/>
      <c r="JST56" s="245"/>
      <c r="JSU56" s="245"/>
      <c r="JSV56" s="245"/>
      <c r="JSW56" s="245"/>
      <c r="JSX56" s="245"/>
      <c r="JSY56" s="245"/>
      <c r="JSZ56" s="245"/>
      <c r="JTA56" s="245"/>
      <c r="JTB56" s="245"/>
      <c r="JTC56" s="245"/>
      <c r="JTD56" s="245"/>
      <c r="JTE56" s="245"/>
      <c r="JTF56" s="245"/>
      <c r="JTG56" s="245"/>
      <c r="JTH56" s="245"/>
      <c r="JTI56" s="245"/>
      <c r="JTJ56" s="245"/>
      <c r="JTK56" s="245"/>
      <c r="JTL56" s="245"/>
      <c r="JTM56" s="245"/>
      <c r="JTN56" s="245"/>
      <c r="JTO56" s="245"/>
      <c r="JTP56" s="245"/>
      <c r="JTQ56" s="245"/>
      <c r="JTR56" s="245"/>
      <c r="JTS56" s="245"/>
      <c r="JTT56" s="245"/>
      <c r="JTU56" s="245"/>
      <c r="JTV56" s="245"/>
      <c r="JTW56" s="245"/>
      <c r="JTX56" s="245"/>
      <c r="JTY56" s="245"/>
      <c r="JTZ56" s="245"/>
      <c r="JUA56" s="245"/>
      <c r="JUB56" s="245"/>
      <c r="JUC56" s="245"/>
      <c r="JUD56" s="245"/>
      <c r="JUE56" s="245"/>
      <c r="JUF56" s="245"/>
      <c r="JUG56" s="245"/>
      <c r="JUH56" s="245"/>
      <c r="JUI56" s="245"/>
      <c r="JUJ56" s="245"/>
      <c r="JUK56" s="245"/>
      <c r="JUL56" s="245"/>
      <c r="JUM56" s="245"/>
      <c r="JUN56" s="245"/>
      <c r="JUO56" s="245"/>
      <c r="JUP56" s="245"/>
      <c r="JUQ56" s="245"/>
      <c r="JUR56" s="245"/>
      <c r="JUS56" s="245"/>
      <c r="JUT56" s="245"/>
      <c r="JUU56" s="245"/>
      <c r="JUV56" s="245"/>
      <c r="JUW56" s="245"/>
      <c r="JUX56" s="245"/>
      <c r="JUY56" s="245"/>
      <c r="JUZ56" s="245"/>
      <c r="JVA56" s="245"/>
      <c r="JVB56" s="245"/>
      <c r="JVC56" s="245"/>
      <c r="JVD56" s="245"/>
      <c r="JVE56" s="245"/>
      <c r="JVF56" s="245"/>
      <c r="JVG56" s="245"/>
      <c r="JVH56" s="245"/>
      <c r="JVI56" s="245"/>
      <c r="JVJ56" s="245"/>
      <c r="JVK56" s="245"/>
      <c r="JVL56" s="245"/>
      <c r="JVM56" s="245"/>
      <c r="JVN56" s="245"/>
      <c r="JVO56" s="245"/>
      <c r="JVP56" s="245"/>
      <c r="JVQ56" s="245"/>
      <c r="JVR56" s="245"/>
      <c r="JVS56" s="245"/>
      <c r="JVT56" s="245"/>
      <c r="JVU56" s="245"/>
      <c r="JVV56" s="245"/>
      <c r="JVW56" s="245"/>
      <c r="JVX56" s="245"/>
      <c r="JVY56" s="245"/>
      <c r="JVZ56" s="245"/>
      <c r="JWA56" s="245"/>
      <c r="JWB56" s="245"/>
      <c r="JWC56" s="245"/>
      <c r="JWD56" s="245"/>
      <c r="JWE56" s="245"/>
      <c r="JWF56" s="245"/>
      <c r="JWG56" s="245"/>
      <c r="JWH56" s="245"/>
      <c r="JWI56" s="245"/>
      <c r="JWJ56" s="245"/>
      <c r="JWK56" s="245"/>
      <c r="JWL56" s="245"/>
      <c r="JWM56" s="245"/>
      <c r="JWN56" s="245"/>
      <c r="JWO56" s="245"/>
      <c r="JWP56" s="245"/>
      <c r="JWQ56" s="245"/>
      <c r="JWR56" s="245"/>
      <c r="JWS56" s="245"/>
      <c r="JWT56" s="245"/>
      <c r="JWU56" s="245"/>
      <c r="JWV56" s="245"/>
      <c r="JWW56" s="245"/>
      <c r="JWX56" s="245"/>
      <c r="JWY56" s="245"/>
      <c r="JWZ56" s="245"/>
      <c r="JXA56" s="245"/>
      <c r="JXB56" s="245"/>
      <c r="JXC56" s="245"/>
      <c r="JXD56" s="245"/>
      <c r="JXE56" s="245"/>
      <c r="JXF56" s="245"/>
      <c r="JXG56" s="245"/>
      <c r="JXH56" s="245"/>
      <c r="JXI56" s="245"/>
      <c r="JXJ56" s="245"/>
      <c r="JXK56" s="245"/>
      <c r="JXL56" s="245"/>
      <c r="JXM56" s="245"/>
      <c r="JXN56" s="245"/>
      <c r="JXO56" s="245"/>
      <c r="JXP56" s="245"/>
      <c r="JXQ56" s="245"/>
      <c r="JXR56" s="245"/>
      <c r="JXS56" s="245"/>
      <c r="JXT56" s="245"/>
      <c r="JXU56" s="245"/>
      <c r="JXV56" s="245"/>
      <c r="JXW56" s="245"/>
      <c r="JXX56" s="245"/>
      <c r="JXY56" s="245"/>
      <c r="JXZ56" s="245"/>
      <c r="JYA56" s="245"/>
      <c r="JYB56" s="245"/>
      <c r="JYC56" s="245"/>
      <c r="JYD56" s="245"/>
      <c r="JYE56" s="245"/>
      <c r="JYF56" s="245"/>
      <c r="JYG56" s="245"/>
      <c r="JYH56" s="245"/>
      <c r="JYI56" s="245"/>
      <c r="JYJ56" s="245"/>
      <c r="JYK56" s="245"/>
      <c r="JYL56" s="245"/>
      <c r="JYM56" s="245"/>
      <c r="JYN56" s="245"/>
      <c r="JYO56" s="245"/>
      <c r="JYP56" s="245"/>
      <c r="JYQ56" s="245"/>
      <c r="JYR56" s="245"/>
      <c r="JYS56" s="245"/>
      <c r="JYT56" s="245"/>
      <c r="JYU56" s="245"/>
      <c r="JYV56" s="245"/>
      <c r="JYW56" s="245"/>
      <c r="JYX56" s="245"/>
      <c r="JYY56" s="245"/>
      <c r="JYZ56" s="245"/>
      <c r="JZA56" s="245"/>
      <c r="JZB56" s="245"/>
      <c r="JZC56" s="245"/>
      <c r="JZD56" s="245"/>
      <c r="JZE56" s="245"/>
      <c r="JZF56" s="245"/>
      <c r="JZG56" s="245"/>
      <c r="JZH56" s="245"/>
      <c r="JZI56" s="245"/>
      <c r="JZJ56" s="245"/>
      <c r="JZK56" s="245"/>
      <c r="JZL56" s="245"/>
      <c r="JZM56" s="245"/>
      <c r="JZN56" s="245"/>
      <c r="JZO56" s="245"/>
      <c r="JZP56" s="245"/>
      <c r="JZQ56" s="245"/>
      <c r="JZR56" s="245"/>
      <c r="JZS56" s="245"/>
      <c r="JZT56" s="245"/>
      <c r="JZU56" s="245"/>
      <c r="JZV56" s="245"/>
      <c r="JZW56" s="245"/>
      <c r="JZX56" s="245"/>
      <c r="JZY56" s="245"/>
      <c r="JZZ56" s="245"/>
      <c r="KAA56" s="245"/>
      <c r="KAB56" s="245"/>
      <c r="KAC56" s="245"/>
      <c r="KAD56" s="245"/>
      <c r="KAE56" s="245"/>
      <c r="KAF56" s="245"/>
      <c r="KAG56" s="245"/>
      <c r="KAH56" s="245"/>
      <c r="KAI56" s="245"/>
      <c r="KAJ56" s="245"/>
      <c r="KAK56" s="245"/>
      <c r="KAL56" s="245"/>
      <c r="KAM56" s="245"/>
      <c r="KAN56" s="245"/>
      <c r="KAO56" s="245"/>
      <c r="KAP56" s="245"/>
      <c r="KAQ56" s="245"/>
      <c r="KAR56" s="245"/>
      <c r="KAS56" s="245"/>
      <c r="KAT56" s="245"/>
      <c r="KAU56" s="245"/>
      <c r="KAV56" s="245"/>
      <c r="KAW56" s="245"/>
      <c r="KAX56" s="245"/>
      <c r="KAY56" s="245"/>
      <c r="KAZ56" s="245"/>
      <c r="KBA56" s="245"/>
      <c r="KBB56" s="245"/>
      <c r="KBC56" s="245"/>
      <c r="KBD56" s="245"/>
      <c r="KBE56" s="245"/>
      <c r="KBF56" s="245"/>
      <c r="KBG56" s="245"/>
      <c r="KBH56" s="245"/>
      <c r="KBI56" s="245"/>
      <c r="KBJ56" s="245"/>
      <c r="KBK56" s="245"/>
      <c r="KBL56" s="245"/>
      <c r="KBM56" s="245"/>
      <c r="KBN56" s="245"/>
      <c r="KBO56" s="245"/>
      <c r="KBP56" s="245"/>
      <c r="KBQ56" s="245"/>
      <c r="KBR56" s="245"/>
      <c r="KBS56" s="245"/>
      <c r="KBT56" s="245"/>
      <c r="KBU56" s="245"/>
      <c r="KBV56" s="245"/>
      <c r="KBW56" s="245"/>
      <c r="KBX56" s="245"/>
      <c r="KBY56" s="245"/>
      <c r="KBZ56" s="245"/>
      <c r="KCA56" s="245"/>
      <c r="KCB56" s="245"/>
      <c r="KCC56" s="245"/>
      <c r="KCD56" s="245"/>
      <c r="KCE56" s="245"/>
      <c r="KCF56" s="245"/>
      <c r="KCG56" s="245"/>
      <c r="KCH56" s="245"/>
      <c r="KCI56" s="245"/>
      <c r="KCJ56" s="245"/>
      <c r="KCK56" s="245"/>
      <c r="KCL56" s="245"/>
      <c r="KCM56" s="245"/>
      <c r="KCN56" s="245"/>
      <c r="KCO56" s="245"/>
      <c r="KCP56" s="245"/>
      <c r="KCQ56" s="245"/>
      <c r="KCR56" s="245"/>
      <c r="KCS56" s="245"/>
      <c r="KCT56" s="245"/>
      <c r="KCU56" s="245"/>
      <c r="KCV56" s="245"/>
      <c r="KCW56" s="245"/>
      <c r="KCX56" s="245"/>
      <c r="KCY56" s="245"/>
      <c r="KCZ56" s="245"/>
      <c r="KDA56" s="245"/>
      <c r="KDB56" s="245"/>
      <c r="KDC56" s="245"/>
      <c r="KDD56" s="245"/>
      <c r="KDE56" s="245"/>
      <c r="KDF56" s="245"/>
      <c r="KDG56" s="245"/>
      <c r="KDH56" s="245"/>
      <c r="KDI56" s="245"/>
      <c r="KDJ56" s="245"/>
      <c r="KDK56" s="245"/>
      <c r="KDL56" s="245"/>
      <c r="KDM56" s="245"/>
      <c r="KDN56" s="245"/>
      <c r="KDO56" s="245"/>
      <c r="KDP56" s="245"/>
      <c r="KDQ56" s="245"/>
      <c r="KDR56" s="245"/>
      <c r="KDS56" s="245"/>
      <c r="KDT56" s="245"/>
      <c r="KDU56" s="245"/>
      <c r="KDV56" s="245"/>
      <c r="KDW56" s="245"/>
      <c r="KDX56" s="245"/>
      <c r="KDY56" s="245"/>
      <c r="KDZ56" s="245"/>
      <c r="KEA56" s="245"/>
      <c r="KEB56" s="245"/>
      <c r="KEC56" s="245"/>
      <c r="KED56" s="245"/>
      <c r="KEE56" s="245"/>
      <c r="KEF56" s="245"/>
      <c r="KEG56" s="245"/>
      <c r="KEH56" s="245"/>
      <c r="KEI56" s="245"/>
      <c r="KEJ56" s="245"/>
      <c r="KEK56" s="245"/>
      <c r="KEL56" s="245"/>
      <c r="KEM56" s="245"/>
      <c r="KEN56" s="245"/>
      <c r="KEO56" s="245"/>
      <c r="KEP56" s="245"/>
      <c r="KEQ56" s="245"/>
      <c r="KER56" s="245"/>
      <c r="KES56" s="245"/>
      <c r="KET56" s="245"/>
      <c r="KEU56" s="245"/>
      <c r="KEV56" s="245"/>
      <c r="KEW56" s="245"/>
      <c r="KEX56" s="245"/>
      <c r="KEY56" s="245"/>
      <c r="KEZ56" s="245"/>
      <c r="KFA56" s="245"/>
      <c r="KFB56" s="245"/>
      <c r="KFC56" s="245"/>
      <c r="KFD56" s="245"/>
      <c r="KFE56" s="245"/>
      <c r="KFF56" s="245"/>
      <c r="KFG56" s="245"/>
      <c r="KFH56" s="245"/>
      <c r="KFI56" s="245"/>
      <c r="KFJ56" s="245"/>
      <c r="KFK56" s="245"/>
      <c r="KFL56" s="245"/>
      <c r="KFM56" s="245"/>
      <c r="KFN56" s="245"/>
      <c r="KFO56" s="245"/>
      <c r="KFP56" s="245"/>
      <c r="KFQ56" s="245"/>
      <c r="KFR56" s="245"/>
      <c r="KFS56" s="245"/>
      <c r="KFT56" s="245"/>
      <c r="KFU56" s="245"/>
      <c r="KFV56" s="245"/>
      <c r="KFW56" s="245"/>
      <c r="KFX56" s="245"/>
      <c r="KFY56" s="245"/>
      <c r="KFZ56" s="245"/>
      <c r="KGA56" s="245"/>
      <c r="KGB56" s="245"/>
      <c r="KGC56" s="245"/>
      <c r="KGD56" s="245"/>
      <c r="KGE56" s="245"/>
      <c r="KGF56" s="245"/>
      <c r="KGG56" s="245"/>
      <c r="KGH56" s="245"/>
      <c r="KGI56" s="245"/>
      <c r="KGJ56" s="245"/>
      <c r="KGK56" s="245"/>
      <c r="KGL56" s="245"/>
      <c r="KGM56" s="245"/>
      <c r="KGN56" s="245"/>
      <c r="KGO56" s="245"/>
      <c r="KGP56" s="245"/>
      <c r="KGQ56" s="245"/>
      <c r="KGR56" s="245"/>
      <c r="KGS56" s="245"/>
      <c r="KGT56" s="245"/>
      <c r="KGU56" s="245"/>
      <c r="KGV56" s="245"/>
      <c r="KGW56" s="245"/>
      <c r="KGX56" s="245"/>
      <c r="KGY56" s="245"/>
      <c r="KGZ56" s="245"/>
      <c r="KHA56" s="245"/>
      <c r="KHB56" s="245"/>
      <c r="KHC56" s="245"/>
      <c r="KHD56" s="245"/>
      <c r="KHE56" s="245"/>
      <c r="KHF56" s="245"/>
      <c r="KHG56" s="245"/>
      <c r="KHH56" s="245"/>
      <c r="KHI56" s="245"/>
      <c r="KHJ56" s="245"/>
      <c r="KHK56" s="245"/>
      <c r="KHL56" s="245"/>
      <c r="KHM56" s="245"/>
      <c r="KHN56" s="245"/>
      <c r="KHO56" s="245"/>
      <c r="KHP56" s="245"/>
      <c r="KHQ56" s="245"/>
      <c r="KHR56" s="245"/>
      <c r="KHS56" s="245"/>
      <c r="KHT56" s="245"/>
      <c r="KHU56" s="245"/>
      <c r="KHV56" s="245"/>
      <c r="KHW56" s="245"/>
      <c r="KHX56" s="245"/>
      <c r="KHY56" s="245"/>
      <c r="KHZ56" s="245"/>
      <c r="KIA56" s="245"/>
      <c r="KIB56" s="245"/>
      <c r="KIC56" s="245"/>
      <c r="KID56" s="245"/>
      <c r="KIE56" s="245"/>
      <c r="KIF56" s="245"/>
      <c r="KIG56" s="245"/>
      <c r="KIH56" s="245"/>
      <c r="KII56" s="245"/>
      <c r="KIJ56" s="245"/>
      <c r="KIK56" s="245"/>
      <c r="KIL56" s="245"/>
      <c r="KIM56" s="245"/>
      <c r="KIN56" s="245"/>
      <c r="KIO56" s="245"/>
      <c r="KIP56" s="245"/>
      <c r="KIQ56" s="245"/>
      <c r="KIR56" s="245"/>
      <c r="KIS56" s="245"/>
      <c r="KIT56" s="245"/>
      <c r="KIU56" s="245"/>
      <c r="KIV56" s="245"/>
      <c r="KIW56" s="245"/>
      <c r="KIX56" s="245"/>
      <c r="KIY56" s="245"/>
      <c r="KIZ56" s="245"/>
      <c r="KJA56" s="245"/>
      <c r="KJB56" s="245"/>
      <c r="KJC56" s="245"/>
      <c r="KJD56" s="245"/>
      <c r="KJE56" s="245"/>
      <c r="KJF56" s="245"/>
      <c r="KJG56" s="245"/>
      <c r="KJH56" s="245"/>
      <c r="KJI56" s="245"/>
      <c r="KJJ56" s="245"/>
      <c r="KJK56" s="245"/>
      <c r="KJL56" s="245"/>
      <c r="KJM56" s="245"/>
      <c r="KJN56" s="245"/>
      <c r="KJO56" s="245"/>
      <c r="KJP56" s="245"/>
      <c r="KJQ56" s="245"/>
      <c r="KJR56" s="245"/>
      <c r="KJS56" s="245"/>
      <c r="KJT56" s="245"/>
      <c r="KJU56" s="245"/>
      <c r="KJV56" s="245"/>
      <c r="KJW56" s="245"/>
      <c r="KJX56" s="245"/>
      <c r="KJY56" s="245"/>
      <c r="KJZ56" s="245"/>
      <c r="KKA56" s="245"/>
      <c r="KKB56" s="245"/>
      <c r="KKC56" s="245"/>
      <c r="KKD56" s="245"/>
      <c r="KKE56" s="245"/>
      <c r="KKF56" s="245"/>
      <c r="KKG56" s="245"/>
      <c r="KKH56" s="245"/>
      <c r="KKI56" s="245"/>
      <c r="KKJ56" s="245"/>
      <c r="KKK56" s="245"/>
      <c r="KKL56" s="245"/>
      <c r="KKM56" s="245"/>
      <c r="KKN56" s="245"/>
      <c r="KKO56" s="245"/>
      <c r="KKP56" s="245"/>
      <c r="KKQ56" s="245"/>
      <c r="KKR56" s="245"/>
      <c r="KKS56" s="245"/>
      <c r="KKT56" s="245"/>
      <c r="KKU56" s="245"/>
      <c r="KKV56" s="245"/>
      <c r="KKW56" s="245"/>
      <c r="KKX56" s="245"/>
      <c r="KKY56" s="245"/>
      <c r="KKZ56" s="245"/>
      <c r="KLA56" s="245"/>
      <c r="KLB56" s="245"/>
      <c r="KLC56" s="245"/>
      <c r="KLD56" s="245"/>
      <c r="KLE56" s="245"/>
      <c r="KLF56" s="245"/>
      <c r="KLG56" s="245"/>
      <c r="KLH56" s="245"/>
      <c r="KLI56" s="245"/>
      <c r="KLJ56" s="245"/>
      <c r="KLK56" s="245"/>
      <c r="KLL56" s="245"/>
      <c r="KLM56" s="245"/>
      <c r="KLN56" s="245"/>
      <c r="KLO56" s="245"/>
      <c r="KLP56" s="245"/>
      <c r="KLQ56" s="245"/>
      <c r="KLR56" s="245"/>
      <c r="KLS56" s="245"/>
      <c r="KLT56" s="245"/>
      <c r="KLU56" s="245"/>
      <c r="KLV56" s="245"/>
      <c r="KLW56" s="245"/>
      <c r="KLX56" s="245"/>
      <c r="KLY56" s="245"/>
      <c r="KLZ56" s="245"/>
      <c r="KMA56" s="245"/>
      <c r="KMB56" s="245"/>
      <c r="KMC56" s="245"/>
      <c r="KMD56" s="245"/>
      <c r="KME56" s="245"/>
      <c r="KMF56" s="245"/>
      <c r="KMG56" s="245"/>
      <c r="KMH56" s="245"/>
      <c r="KMI56" s="245"/>
      <c r="KMJ56" s="245"/>
      <c r="KMK56" s="245"/>
      <c r="KML56" s="245"/>
      <c r="KMM56" s="245"/>
      <c r="KMN56" s="245"/>
      <c r="KMO56" s="245"/>
      <c r="KMP56" s="245"/>
      <c r="KMQ56" s="245"/>
      <c r="KMR56" s="245"/>
      <c r="KMS56" s="245"/>
      <c r="KMT56" s="245"/>
      <c r="KMU56" s="245"/>
      <c r="KMV56" s="245"/>
      <c r="KMW56" s="245"/>
      <c r="KMX56" s="245"/>
      <c r="KMY56" s="245"/>
      <c r="KMZ56" s="245"/>
      <c r="KNA56" s="245"/>
      <c r="KNB56" s="245"/>
      <c r="KNC56" s="245"/>
      <c r="KND56" s="245"/>
      <c r="KNE56" s="245"/>
      <c r="KNF56" s="245"/>
      <c r="KNG56" s="245"/>
      <c r="KNH56" s="245"/>
      <c r="KNI56" s="245"/>
      <c r="KNJ56" s="245"/>
      <c r="KNK56" s="245"/>
      <c r="KNL56" s="245"/>
      <c r="KNM56" s="245"/>
      <c r="KNN56" s="245"/>
      <c r="KNO56" s="245"/>
      <c r="KNP56" s="245"/>
      <c r="KNQ56" s="245"/>
      <c r="KNR56" s="245"/>
      <c r="KNS56" s="245"/>
      <c r="KNT56" s="245"/>
      <c r="KNU56" s="245"/>
      <c r="KNV56" s="245"/>
      <c r="KNW56" s="245"/>
      <c r="KNX56" s="245"/>
      <c r="KNY56" s="245"/>
      <c r="KNZ56" s="245"/>
      <c r="KOA56" s="245"/>
      <c r="KOB56" s="245"/>
      <c r="KOC56" s="245"/>
      <c r="KOD56" s="245"/>
      <c r="KOE56" s="245"/>
      <c r="KOF56" s="245"/>
      <c r="KOG56" s="245"/>
      <c r="KOH56" s="245"/>
      <c r="KOI56" s="245"/>
      <c r="KOJ56" s="245"/>
      <c r="KOK56" s="245"/>
      <c r="KOL56" s="245"/>
      <c r="KOM56" s="245"/>
      <c r="KON56" s="245"/>
      <c r="KOO56" s="245"/>
      <c r="KOP56" s="245"/>
      <c r="KOQ56" s="245"/>
      <c r="KOR56" s="245"/>
      <c r="KOS56" s="245"/>
      <c r="KOT56" s="245"/>
      <c r="KOU56" s="245"/>
      <c r="KOV56" s="245"/>
      <c r="KOW56" s="245"/>
      <c r="KOX56" s="245"/>
      <c r="KOY56" s="245"/>
      <c r="KOZ56" s="245"/>
      <c r="KPA56" s="245"/>
      <c r="KPB56" s="245"/>
      <c r="KPC56" s="245"/>
      <c r="KPD56" s="245"/>
      <c r="KPE56" s="245"/>
      <c r="KPF56" s="245"/>
      <c r="KPG56" s="245"/>
      <c r="KPH56" s="245"/>
      <c r="KPI56" s="245"/>
      <c r="KPJ56" s="245"/>
      <c r="KPK56" s="245"/>
      <c r="KPL56" s="245"/>
      <c r="KPM56" s="245"/>
      <c r="KPN56" s="245"/>
      <c r="KPO56" s="245"/>
      <c r="KPP56" s="245"/>
      <c r="KPQ56" s="245"/>
      <c r="KPR56" s="245"/>
      <c r="KPS56" s="245"/>
      <c r="KPT56" s="245"/>
      <c r="KPU56" s="245"/>
      <c r="KPV56" s="245"/>
      <c r="KPW56" s="245"/>
      <c r="KPX56" s="245"/>
      <c r="KPY56" s="245"/>
      <c r="KPZ56" s="245"/>
      <c r="KQA56" s="245"/>
      <c r="KQB56" s="245"/>
      <c r="KQC56" s="245"/>
      <c r="KQD56" s="245"/>
      <c r="KQE56" s="245"/>
      <c r="KQF56" s="245"/>
      <c r="KQG56" s="245"/>
      <c r="KQH56" s="245"/>
      <c r="KQI56" s="245"/>
      <c r="KQJ56" s="245"/>
      <c r="KQK56" s="245"/>
      <c r="KQL56" s="245"/>
      <c r="KQM56" s="245"/>
      <c r="KQN56" s="245"/>
      <c r="KQO56" s="245"/>
      <c r="KQP56" s="245"/>
      <c r="KQQ56" s="245"/>
      <c r="KQR56" s="245"/>
      <c r="KQS56" s="245"/>
      <c r="KQT56" s="245"/>
      <c r="KQU56" s="245"/>
      <c r="KQV56" s="245"/>
      <c r="KQW56" s="245"/>
      <c r="KQX56" s="245"/>
      <c r="KQY56" s="245"/>
      <c r="KQZ56" s="245"/>
      <c r="KRA56" s="245"/>
      <c r="KRB56" s="245"/>
      <c r="KRC56" s="245"/>
      <c r="KRD56" s="245"/>
      <c r="KRE56" s="245"/>
      <c r="KRF56" s="245"/>
      <c r="KRG56" s="245"/>
      <c r="KRH56" s="245"/>
      <c r="KRI56" s="245"/>
      <c r="KRJ56" s="245"/>
      <c r="KRK56" s="245"/>
      <c r="KRL56" s="245"/>
      <c r="KRM56" s="245"/>
      <c r="KRN56" s="245"/>
      <c r="KRO56" s="245"/>
      <c r="KRP56" s="245"/>
      <c r="KRQ56" s="245"/>
      <c r="KRR56" s="245"/>
      <c r="KRS56" s="245"/>
      <c r="KRT56" s="245"/>
      <c r="KRU56" s="245"/>
      <c r="KRV56" s="245"/>
      <c r="KRW56" s="245"/>
      <c r="KRX56" s="245"/>
      <c r="KRY56" s="245"/>
      <c r="KRZ56" s="245"/>
      <c r="KSA56" s="245"/>
      <c r="KSB56" s="245"/>
      <c r="KSC56" s="245"/>
      <c r="KSD56" s="245"/>
      <c r="KSE56" s="245"/>
      <c r="KSF56" s="245"/>
      <c r="KSG56" s="245"/>
      <c r="KSH56" s="245"/>
      <c r="KSI56" s="245"/>
      <c r="KSJ56" s="245"/>
      <c r="KSK56" s="245"/>
      <c r="KSL56" s="245"/>
      <c r="KSM56" s="245"/>
      <c r="KSN56" s="245"/>
      <c r="KSO56" s="245"/>
      <c r="KSP56" s="245"/>
      <c r="KSQ56" s="245"/>
      <c r="KSR56" s="245"/>
      <c r="KSS56" s="245"/>
      <c r="KST56" s="245"/>
      <c r="KSU56" s="245"/>
      <c r="KSV56" s="245"/>
      <c r="KSW56" s="245"/>
      <c r="KSX56" s="245"/>
      <c r="KSY56" s="245"/>
      <c r="KSZ56" s="245"/>
      <c r="KTA56" s="245"/>
      <c r="KTB56" s="245"/>
      <c r="KTC56" s="245"/>
      <c r="KTD56" s="245"/>
      <c r="KTE56" s="245"/>
      <c r="KTF56" s="245"/>
      <c r="KTG56" s="245"/>
      <c r="KTH56" s="245"/>
      <c r="KTI56" s="245"/>
      <c r="KTJ56" s="245"/>
      <c r="KTK56" s="245"/>
      <c r="KTL56" s="245"/>
      <c r="KTM56" s="245"/>
      <c r="KTN56" s="245"/>
      <c r="KTO56" s="245"/>
      <c r="KTP56" s="245"/>
      <c r="KTQ56" s="245"/>
      <c r="KTR56" s="245"/>
      <c r="KTS56" s="245"/>
      <c r="KTT56" s="245"/>
      <c r="KTU56" s="245"/>
      <c r="KTV56" s="245"/>
      <c r="KTW56" s="245"/>
      <c r="KTX56" s="245"/>
      <c r="KTY56" s="245"/>
      <c r="KTZ56" s="245"/>
      <c r="KUA56" s="245"/>
      <c r="KUB56" s="245"/>
      <c r="KUC56" s="245"/>
      <c r="KUD56" s="245"/>
      <c r="KUE56" s="245"/>
      <c r="KUF56" s="245"/>
      <c r="KUG56" s="245"/>
      <c r="KUH56" s="245"/>
      <c r="KUI56" s="245"/>
      <c r="KUJ56" s="245"/>
      <c r="KUK56" s="245"/>
      <c r="KUL56" s="245"/>
      <c r="KUM56" s="245"/>
      <c r="KUN56" s="245"/>
      <c r="KUO56" s="245"/>
      <c r="KUP56" s="245"/>
      <c r="KUQ56" s="245"/>
      <c r="KUR56" s="245"/>
      <c r="KUS56" s="245"/>
      <c r="KUT56" s="245"/>
      <c r="KUU56" s="245"/>
      <c r="KUV56" s="245"/>
      <c r="KUW56" s="245"/>
      <c r="KUX56" s="245"/>
      <c r="KUY56" s="245"/>
      <c r="KUZ56" s="245"/>
      <c r="KVA56" s="245"/>
      <c r="KVB56" s="245"/>
      <c r="KVC56" s="245"/>
      <c r="KVD56" s="245"/>
      <c r="KVE56" s="245"/>
      <c r="KVF56" s="245"/>
      <c r="KVG56" s="245"/>
      <c r="KVH56" s="245"/>
      <c r="KVI56" s="245"/>
      <c r="KVJ56" s="245"/>
      <c r="KVK56" s="245"/>
      <c r="KVL56" s="245"/>
      <c r="KVM56" s="245"/>
      <c r="KVN56" s="245"/>
      <c r="KVO56" s="245"/>
      <c r="KVP56" s="245"/>
      <c r="KVQ56" s="245"/>
      <c r="KVR56" s="245"/>
      <c r="KVS56" s="245"/>
      <c r="KVT56" s="245"/>
      <c r="KVU56" s="245"/>
      <c r="KVV56" s="245"/>
      <c r="KVW56" s="245"/>
      <c r="KVX56" s="245"/>
      <c r="KVY56" s="245"/>
      <c r="KVZ56" s="245"/>
      <c r="KWA56" s="245"/>
      <c r="KWB56" s="245"/>
      <c r="KWC56" s="245"/>
      <c r="KWD56" s="245"/>
      <c r="KWE56" s="245"/>
      <c r="KWF56" s="245"/>
      <c r="KWG56" s="245"/>
      <c r="KWH56" s="245"/>
      <c r="KWI56" s="245"/>
      <c r="KWJ56" s="245"/>
      <c r="KWK56" s="245"/>
      <c r="KWL56" s="245"/>
      <c r="KWM56" s="245"/>
      <c r="KWN56" s="245"/>
      <c r="KWO56" s="245"/>
      <c r="KWP56" s="245"/>
      <c r="KWQ56" s="245"/>
      <c r="KWR56" s="245"/>
      <c r="KWS56" s="245"/>
      <c r="KWT56" s="245"/>
      <c r="KWU56" s="245"/>
      <c r="KWV56" s="245"/>
      <c r="KWW56" s="245"/>
      <c r="KWX56" s="245"/>
      <c r="KWY56" s="245"/>
      <c r="KWZ56" s="245"/>
      <c r="KXA56" s="245"/>
      <c r="KXB56" s="245"/>
      <c r="KXC56" s="245"/>
      <c r="KXD56" s="245"/>
      <c r="KXE56" s="245"/>
      <c r="KXF56" s="245"/>
      <c r="KXG56" s="245"/>
      <c r="KXH56" s="245"/>
      <c r="KXI56" s="245"/>
      <c r="KXJ56" s="245"/>
      <c r="KXK56" s="245"/>
      <c r="KXL56" s="245"/>
      <c r="KXM56" s="245"/>
      <c r="KXN56" s="245"/>
      <c r="KXO56" s="245"/>
      <c r="KXP56" s="245"/>
      <c r="KXQ56" s="245"/>
      <c r="KXR56" s="245"/>
      <c r="KXS56" s="245"/>
      <c r="KXT56" s="245"/>
      <c r="KXU56" s="245"/>
      <c r="KXV56" s="245"/>
      <c r="KXW56" s="245"/>
      <c r="KXX56" s="245"/>
      <c r="KXY56" s="245"/>
      <c r="KXZ56" s="245"/>
      <c r="KYA56" s="245"/>
      <c r="KYB56" s="245"/>
      <c r="KYC56" s="245"/>
      <c r="KYD56" s="245"/>
      <c r="KYE56" s="245"/>
      <c r="KYF56" s="245"/>
      <c r="KYG56" s="245"/>
      <c r="KYH56" s="245"/>
      <c r="KYI56" s="245"/>
      <c r="KYJ56" s="245"/>
      <c r="KYK56" s="245"/>
      <c r="KYL56" s="245"/>
      <c r="KYM56" s="245"/>
      <c r="KYN56" s="245"/>
      <c r="KYO56" s="245"/>
      <c r="KYP56" s="245"/>
      <c r="KYQ56" s="245"/>
      <c r="KYR56" s="245"/>
      <c r="KYS56" s="245"/>
      <c r="KYT56" s="245"/>
      <c r="KYU56" s="245"/>
      <c r="KYV56" s="245"/>
      <c r="KYW56" s="245"/>
      <c r="KYX56" s="245"/>
      <c r="KYY56" s="245"/>
      <c r="KYZ56" s="245"/>
      <c r="KZA56" s="245"/>
      <c r="KZB56" s="245"/>
      <c r="KZC56" s="245"/>
      <c r="KZD56" s="245"/>
      <c r="KZE56" s="245"/>
      <c r="KZF56" s="245"/>
      <c r="KZG56" s="245"/>
      <c r="KZH56" s="245"/>
      <c r="KZI56" s="245"/>
      <c r="KZJ56" s="245"/>
      <c r="KZK56" s="245"/>
      <c r="KZL56" s="245"/>
      <c r="KZM56" s="245"/>
      <c r="KZN56" s="245"/>
      <c r="KZO56" s="245"/>
      <c r="KZP56" s="245"/>
      <c r="KZQ56" s="245"/>
      <c r="KZR56" s="245"/>
      <c r="KZS56" s="245"/>
      <c r="KZT56" s="245"/>
      <c r="KZU56" s="245"/>
      <c r="KZV56" s="245"/>
      <c r="KZW56" s="245"/>
      <c r="KZX56" s="245"/>
      <c r="KZY56" s="245"/>
      <c r="KZZ56" s="245"/>
      <c r="LAA56" s="245"/>
      <c r="LAB56" s="245"/>
      <c r="LAC56" s="245"/>
      <c r="LAD56" s="245"/>
      <c r="LAE56" s="245"/>
      <c r="LAF56" s="245"/>
      <c r="LAG56" s="245"/>
      <c r="LAH56" s="245"/>
      <c r="LAI56" s="245"/>
      <c r="LAJ56" s="245"/>
      <c r="LAK56" s="245"/>
      <c r="LAL56" s="245"/>
      <c r="LAM56" s="245"/>
      <c r="LAN56" s="245"/>
      <c r="LAO56" s="245"/>
      <c r="LAP56" s="245"/>
      <c r="LAQ56" s="245"/>
      <c r="LAR56" s="245"/>
      <c r="LAS56" s="245"/>
      <c r="LAT56" s="245"/>
      <c r="LAU56" s="245"/>
      <c r="LAV56" s="245"/>
      <c r="LAW56" s="245"/>
      <c r="LAX56" s="245"/>
      <c r="LAY56" s="245"/>
      <c r="LAZ56" s="245"/>
      <c r="LBA56" s="245"/>
      <c r="LBB56" s="245"/>
      <c r="LBC56" s="245"/>
      <c r="LBD56" s="245"/>
      <c r="LBE56" s="245"/>
      <c r="LBF56" s="245"/>
      <c r="LBG56" s="245"/>
      <c r="LBH56" s="245"/>
      <c r="LBI56" s="245"/>
      <c r="LBJ56" s="245"/>
      <c r="LBK56" s="245"/>
      <c r="LBL56" s="245"/>
      <c r="LBM56" s="245"/>
      <c r="LBN56" s="245"/>
      <c r="LBO56" s="245"/>
      <c r="LBP56" s="245"/>
      <c r="LBQ56" s="245"/>
      <c r="LBR56" s="245"/>
      <c r="LBS56" s="245"/>
      <c r="LBT56" s="245"/>
      <c r="LBU56" s="245"/>
      <c r="LBV56" s="245"/>
      <c r="LBW56" s="245"/>
      <c r="LBX56" s="245"/>
      <c r="LBY56" s="245"/>
      <c r="LBZ56" s="245"/>
      <c r="LCA56" s="245"/>
      <c r="LCB56" s="245"/>
      <c r="LCC56" s="245"/>
      <c r="LCD56" s="245"/>
      <c r="LCE56" s="245"/>
      <c r="LCF56" s="245"/>
      <c r="LCG56" s="245"/>
      <c r="LCH56" s="245"/>
      <c r="LCI56" s="245"/>
      <c r="LCJ56" s="245"/>
      <c r="LCK56" s="245"/>
      <c r="LCL56" s="245"/>
      <c r="LCM56" s="245"/>
      <c r="LCN56" s="245"/>
      <c r="LCO56" s="245"/>
      <c r="LCP56" s="245"/>
      <c r="LCQ56" s="245"/>
      <c r="LCR56" s="245"/>
      <c r="LCS56" s="245"/>
      <c r="LCT56" s="245"/>
      <c r="LCU56" s="245"/>
      <c r="LCV56" s="245"/>
      <c r="LCW56" s="245"/>
      <c r="LCX56" s="245"/>
      <c r="LCY56" s="245"/>
      <c r="LCZ56" s="245"/>
      <c r="LDA56" s="245"/>
      <c r="LDB56" s="245"/>
      <c r="LDC56" s="245"/>
      <c r="LDD56" s="245"/>
      <c r="LDE56" s="245"/>
      <c r="LDF56" s="245"/>
      <c r="LDG56" s="245"/>
      <c r="LDH56" s="245"/>
      <c r="LDI56" s="245"/>
      <c r="LDJ56" s="245"/>
      <c r="LDK56" s="245"/>
      <c r="LDL56" s="245"/>
      <c r="LDM56" s="245"/>
      <c r="LDN56" s="245"/>
      <c r="LDO56" s="245"/>
      <c r="LDP56" s="245"/>
      <c r="LDQ56" s="245"/>
      <c r="LDR56" s="245"/>
      <c r="LDS56" s="245"/>
      <c r="LDT56" s="245"/>
      <c r="LDU56" s="245"/>
      <c r="LDV56" s="245"/>
      <c r="LDW56" s="245"/>
      <c r="LDX56" s="245"/>
      <c r="LDY56" s="245"/>
      <c r="LDZ56" s="245"/>
      <c r="LEA56" s="245"/>
      <c r="LEB56" s="245"/>
      <c r="LEC56" s="245"/>
      <c r="LED56" s="245"/>
      <c r="LEE56" s="245"/>
      <c r="LEF56" s="245"/>
      <c r="LEG56" s="245"/>
      <c r="LEH56" s="245"/>
      <c r="LEI56" s="245"/>
      <c r="LEJ56" s="245"/>
      <c r="LEK56" s="245"/>
      <c r="LEL56" s="245"/>
      <c r="LEM56" s="245"/>
      <c r="LEN56" s="245"/>
      <c r="LEO56" s="245"/>
      <c r="LEP56" s="245"/>
      <c r="LEQ56" s="245"/>
      <c r="LER56" s="245"/>
      <c r="LES56" s="245"/>
      <c r="LET56" s="245"/>
      <c r="LEU56" s="245"/>
      <c r="LEV56" s="245"/>
      <c r="LEW56" s="245"/>
      <c r="LEX56" s="245"/>
      <c r="LEY56" s="245"/>
      <c r="LEZ56" s="245"/>
      <c r="LFA56" s="245"/>
      <c r="LFB56" s="245"/>
      <c r="LFC56" s="245"/>
      <c r="LFD56" s="245"/>
      <c r="LFE56" s="245"/>
      <c r="LFF56" s="245"/>
      <c r="LFG56" s="245"/>
      <c r="LFH56" s="245"/>
      <c r="LFI56" s="245"/>
      <c r="LFJ56" s="245"/>
      <c r="LFK56" s="245"/>
      <c r="LFL56" s="245"/>
      <c r="LFM56" s="245"/>
      <c r="LFN56" s="245"/>
      <c r="LFO56" s="245"/>
      <c r="LFP56" s="245"/>
      <c r="LFQ56" s="245"/>
      <c r="LFR56" s="245"/>
      <c r="LFS56" s="245"/>
      <c r="LFT56" s="245"/>
      <c r="LFU56" s="245"/>
      <c r="LFV56" s="245"/>
      <c r="LFW56" s="245"/>
      <c r="LFX56" s="245"/>
      <c r="LFY56" s="245"/>
      <c r="LFZ56" s="245"/>
      <c r="LGA56" s="245"/>
      <c r="LGB56" s="245"/>
      <c r="LGC56" s="245"/>
      <c r="LGD56" s="245"/>
      <c r="LGE56" s="245"/>
      <c r="LGF56" s="245"/>
      <c r="LGG56" s="245"/>
      <c r="LGH56" s="245"/>
      <c r="LGI56" s="245"/>
      <c r="LGJ56" s="245"/>
      <c r="LGK56" s="245"/>
      <c r="LGL56" s="245"/>
      <c r="LGM56" s="245"/>
      <c r="LGN56" s="245"/>
      <c r="LGO56" s="245"/>
      <c r="LGP56" s="245"/>
      <c r="LGQ56" s="245"/>
      <c r="LGR56" s="245"/>
      <c r="LGS56" s="245"/>
      <c r="LGT56" s="245"/>
      <c r="LGU56" s="245"/>
      <c r="LGV56" s="245"/>
      <c r="LGW56" s="245"/>
      <c r="LGX56" s="245"/>
      <c r="LGY56" s="245"/>
      <c r="LGZ56" s="245"/>
      <c r="LHA56" s="245"/>
      <c r="LHB56" s="245"/>
      <c r="LHC56" s="245"/>
      <c r="LHD56" s="245"/>
      <c r="LHE56" s="245"/>
      <c r="LHF56" s="245"/>
      <c r="LHG56" s="245"/>
      <c r="LHH56" s="245"/>
      <c r="LHI56" s="245"/>
      <c r="LHJ56" s="245"/>
      <c r="LHK56" s="245"/>
      <c r="LHL56" s="245"/>
      <c r="LHM56" s="245"/>
      <c r="LHN56" s="245"/>
      <c r="LHO56" s="245"/>
      <c r="LHP56" s="245"/>
      <c r="LHQ56" s="245"/>
      <c r="LHR56" s="245"/>
      <c r="LHS56" s="245"/>
      <c r="LHT56" s="245"/>
      <c r="LHU56" s="245"/>
      <c r="LHV56" s="245"/>
      <c r="LHW56" s="245"/>
      <c r="LHX56" s="245"/>
      <c r="LHY56" s="245"/>
      <c r="LHZ56" s="245"/>
      <c r="LIA56" s="245"/>
      <c r="LIB56" s="245"/>
      <c r="LIC56" s="245"/>
      <c r="LID56" s="245"/>
      <c r="LIE56" s="245"/>
      <c r="LIF56" s="245"/>
      <c r="LIG56" s="245"/>
      <c r="LIH56" s="245"/>
      <c r="LII56" s="245"/>
      <c r="LIJ56" s="245"/>
      <c r="LIK56" s="245"/>
      <c r="LIL56" s="245"/>
      <c r="LIM56" s="245"/>
      <c r="LIN56" s="245"/>
      <c r="LIO56" s="245"/>
      <c r="LIP56" s="245"/>
      <c r="LIQ56" s="245"/>
      <c r="LIR56" s="245"/>
      <c r="LIS56" s="245"/>
      <c r="LIT56" s="245"/>
      <c r="LIU56" s="245"/>
      <c r="LIV56" s="245"/>
      <c r="LIW56" s="245"/>
      <c r="LIX56" s="245"/>
      <c r="LIY56" s="245"/>
      <c r="LIZ56" s="245"/>
      <c r="LJA56" s="245"/>
      <c r="LJB56" s="245"/>
      <c r="LJC56" s="245"/>
      <c r="LJD56" s="245"/>
      <c r="LJE56" s="245"/>
      <c r="LJF56" s="245"/>
      <c r="LJG56" s="245"/>
      <c r="LJH56" s="245"/>
      <c r="LJI56" s="245"/>
      <c r="LJJ56" s="245"/>
      <c r="LJK56" s="245"/>
      <c r="LJL56" s="245"/>
      <c r="LJM56" s="245"/>
      <c r="LJN56" s="245"/>
      <c r="LJO56" s="245"/>
      <c r="LJP56" s="245"/>
      <c r="LJQ56" s="245"/>
      <c r="LJR56" s="245"/>
      <c r="LJS56" s="245"/>
      <c r="LJT56" s="245"/>
      <c r="LJU56" s="245"/>
      <c r="LJV56" s="245"/>
      <c r="LJW56" s="245"/>
      <c r="LJX56" s="245"/>
      <c r="LJY56" s="245"/>
      <c r="LJZ56" s="245"/>
      <c r="LKA56" s="245"/>
      <c r="LKB56" s="245"/>
      <c r="LKC56" s="245"/>
      <c r="LKD56" s="245"/>
      <c r="LKE56" s="245"/>
      <c r="LKF56" s="245"/>
      <c r="LKG56" s="245"/>
      <c r="LKH56" s="245"/>
      <c r="LKI56" s="245"/>
      <c r="LKJ56" s="245"/>
      <c r="LKK56" s="245"/>
      <c r="LKL56" s="245"/>
      <c r="LKM56" s="245"/>
      <c r="LKN56" s="245"/>
      <c r="LKO56" s="245"/>
      <c r="LKP56" s="245"/>
      <c r="LKQ56" s="245"/>
      <c r="LKR56" s="245"/>
      <c r="LKS56" s="245"/>
      <c r="LKT56" s="245"/>
      <c r="LKU56" s="245"/>
      <c r="LKV56" s="245"/>
      <c r="LKW56" s="245"/>
      <c r="LKX56" s="245"/>
      <c r="LKY56" s="245"/>
      <c r="LKZ56" s="245"/>
      <c r="LLA56" s="245"/>
      <c r="LLB56" s="245"/>
      <c r="LLC56" s="245"/>
      <c r="LLD56" s="245"/>
      <c r="LLE56" s="245"/>
      <c r="LLF56" s="245"/>
      <c r="LLG56" s="245"/>
      <c r="LLH56" s="245"/>
      <c r="LLI56" s="245"/>
      <c r="LLJ56" s="245"/>
      <c r="LLK56" s="245"/>
      <c r="LLL56" s="245"/>
      <c r="LLM56" s="245"/>
      <c r="LLN56" s="245"/>
      <c r="LLO56" s="245"/>
      <c r="LLP56" s="245"/>
      <c r="LLQ56" s="245"/>
      <c r="LLR56" s="245"/>
      <c r="LLS56" s="245"/>
      <c r="LLT56" s="245"/>
      <c r="LLU56" s="245"/>
      <c r="LLV56" s="245"/>
      <c r="LLW56" s="245"/>
      <c r="LLX56" s="245"/>
      <c r="LLY56" s="245"/>
      <c r="LLZ56" s="245"/>
      <c r="LMA56" s="245"/>
      <c r="LMB56" s="245"/>
      <c r="LMC56" s="245"/>
      <c r="LMD56" s="245"/>
      <c r="LME56" s="245"/>
      <c r="LMF56" s="245"/>
      <c r="LMG56" s="245"/>
      <c r="LMH56" s="245"/>
      <c r="LMI56" s="245"/>
      <c r="LMJ56" s="245"/>
      <c r="LMK56" s="245"/>
      <c r="LML56" s="245"/>
      <c r="LMM56" s="245"/>
      <c r="LMN56" s="245"/>
      <c r="LMO56" s="245"/>
      <c r="LMP56" s="245"/>
      <c r="LMQ56" s="245"/>
      <c r="LMR56" s="245"/>
      <c r="LMS56" s="245"/>
      <c r="LMT56" s="245"/>
      <c r="LMU56" s="245"/>
      <c r="LMV56" s="245"/>
      <c r="LMW56" s="245"/>
      <c r="LMX56" s="245"/>
      <c r="LMY56" s="245"/>
      <c r="LMZ56" s="245"/>
      <c r="LNA56" s="245"/>
      <c r="LNB56" s="245"/>
      <c r="LNC56" s="245"/>
      <c r="LND56" s="245"/>
      <c r="LNE56" s="245"/>
      <c r="LNF56" s="245"/>
      <c r="LNG56" s="245"/>
      <c r="LNH56" s="245"/>
      <c r="LNI56" s="245"/>
      <c r="LNJ56" s="245"/>
      <c r="LNK56" s="245"/>
      <c r="LNL56" s="245"/>
      <c r="LNM56" s="245"/>
      <c r="LNN56" s="245"/>
      <c r="LNO56" s="245"/>
      <c r="LNP56" s="245"/>
      <c r="LNQ56" s="245"/>
      <c r="LNR56" s="245"/>
      <c r="LNS56" s="245"/>
      <c r="LNT56" s="245"/>
      <c r="LNU56" s="245"/>
      <c r="LNV56" s="245"/>
      <c r="LNW56" s="245"/>
      <c r="LNX56" s="245"/>
      <c r="LNY56" s="245"/>
      <c r="LNZ56" s="245"/>
      <c r="LOA56" s="245"/>
      <c r="LOB56" s="245"/>
      <c r="LOC56" s="245"/>
      <c r="LOD56" s="245"/>
      <c r="LOE56" s="245"/>
      <c r="LOF56" s="245"/>
      <c r="LOG56" s="245"/>
      <c r="LOH56" s="245"/>
      <c r="LOI56" s="245"/>
      <c r="LOJ56" s="245"/>
      <c r="LOK56" s="245"/>
      <c r="LOL56" s="245"/>
      <c r="LOM56" s="245"/>
      <c r="LON56" s="245"/>
      <c r="LOO56" s="245"/>
      <c r="LOP56" s="245"/>
      <c r="LOQ56" s="245"/>
      <c r="LOR56" s="245"/>
      <c r="LOS56" s="245"/>
      <c r="LOT56" s="245"/>
      <c r="LOU56" s="245"/>
      <c r="LOV56" s="245"/>
      <c r="LOW56" s="245"/>
      <c r="LOX56" s="245"/>
      <c r="LOY56" s="245"/>
      <c r="LOZ56" s="245"/>
      <c r="LPA56" s="245"/>
      <c r="LPB56" s="245"/>
      <c r="LPC56" s="245"/>
      <c r="LPD56" s="245"/>
      <c r="LPE56" s="245"/>
      <c r="LPF56" s="245"/>
      <c r="LPG56" s="245"/>
      <c r="LPH56" s="245"/>
      <c r="LPI56" s="245"/>
      <c r="LPJ56" s="245"/>
      <c r="LPK56" s="245"/>
      <c r="LPL56" s="245"/>
      <c r="LPM56" s="245"/>
      <c r="LPN56" s="245"/>
      <c r="LPO56" s="245"/>
      <c r="LPP56" s="245"/>
      <c r="LPQ56" s="245"/>
      <c r="LPR56" s="245"/>
      <c r="LPS56" s="245"/>
      <c r="LPT56" s="245"/>
      <c r="LPU56" s="245"/>
      <c r="LPV56" s="245"/>
      <c r="LPW56" s="245"/>
      <c r="LPX56" s="245"/>
      <c r="LPY56" s="245"/>
      <c r="LPZ56" s="245"/>
      <c r="LQA56" s="245"/>
      <c r="LQB56" s="245"/>
      <c r="LQC56" s="245"/>
      <c r="LQD56" s="245"/>
      <c r="LQE56" s="245"/>
      <c r="LQF56" s="245"/>
      <c r="LQG56" s="245"/>
      <c r="LQH56" s="245"/>
      <c r="LQI56" s="245"/>
      <c r="LQJ56" s="245"/>
      <c r="LQK56" s="245"/>
      <c r="LQL56" s="245"/>
      <c r="LQM56" s="245"/>
      <c r="LQN56" s="245"/>
      <c r="LQO56" s="245"/>
      <c r="LQP56" s="245"/>
      <c r="LQQ56" s="245"/>
      <c r="LQR56" s="245"/>
      <c r="LQS56" s="245"/>
      <c r="LQT56" s="245"/>
      <c r="LQU56" s="245"/>
      <c r="LQV56" s="245"/>
      <c r="LQW56" s="245"/>
      <c r="LQX56" s="245"/>
      <c r="LQY56" s="245"/>
      <c r="LQZ56" s="245"/>
      <c r="LRA56" s="245"/>
      <c r="LRB56" s="245"/>
      <c r="LRC56" s="245"/>
      <c r="LRD56" s="245"/>
      <c r="LRE56" s="245"/>
      <c r="LRF56" s="245"/>
      <c r="LRG56" s="245"/>
      <c r="LRH56" s="245"/>
      <c r="LRI56" s="245"/>
      <c r="LRJ56" s="245"/>
      <c r="LRK56" s="245"/>
      <c r="LRL56" s="245"/>
      <c r="LRM56" s="245"/>
      <c r="LRN56" s="245"/>
      <c r="LRO56" s="245"/>
      <c r="LRP56" s="245"/>
      <c r="LRQ56" s="245"/>
      <c r="LRR56" s="245"/>
      <c r="LRS56" s="245"/>
      <c r="LRT56" s="245"/>
      <c r="LRU56" s="245"/>
      <c r="LRV56" s="245"/>
      <c r="LRW56" s="245"/>
      <c r="LRX56" s="245"/>
      <c r="LRY56" s="245"/>
      <c r="LRZ56" s="245"/>
      <c r="LSA56" s="245"/>
      <c r="LSB56" s="245"/>
      <c r="LSC56" s="245"/>
      <c r="LSD56" s="245"/>
      <c r="LSE56" s="245"/>
      <c r="LSF56" s="245"/>
      <c r="LSG56" s="245"/>
      <c r="LSH56" s="245"/>
      <c r="LSI56" s="245"/>
      <c r="LSJ56" s="245"/>
      <c r="LSK56" s="245"/>
      <c r="LSL56" s="245"/>
      <c r="LSM56" s="245"/>
      <c r="LSN56" s="245"/>
      <c r="LSO56" s="245"/>
      <c r="LSP56" s="245"/>
      <c r="LSQ56" s="245"/>
      <c r="LSR56" s="245"/>
      <c r="LSS56" s="245"/>
      <c r="LST56" s="245"/>
      <c r="LSU56" s="245"/>
      <c r="LSV56" s="245"/>
      <c r="LSW56" s="245"/>
      <c r="LSX56" s="245"/>
      <c r="LSY56" s="245"/>
      <c r="LSZ56" s="245"/>
      <c r="LTA56" s="245"/>
      <c r="LTB56" s="245"/>
      <c r="LTC56" s="245"/>
      <c r="LTD56" s="245"/>
      <c r="LTE56" s="245"/>
      <c r="LTF56" s="245"/>
      <c r="LTG56" s="245"/>
      <c r="LTH56" s="245"/>
      <c r="LTI56" s="245"/>
      <c r="LTJ56" s="245"/>
      <c r="LTK56" s="245"/>
      <c r="LTL56" s="245"/>
      <c r="LTM56" s="245"/>
      <c r="LTN56" s="245"/>
      <c r="LTO56" s="245"/>
      <c r="LTP56" s="245"/>
      <c r="LTQ56" s="245"/>
      <c r="LTR56" s="245"/>
      <c r="LTS56" s="245"/>
      <c r="LTT56" s="245"/>
      <c r="LTU56" s="245"/>
      <c r="LTV56" s="245"/>
      <c r="LTW56" s="245"/>
      <c r="LTX56" s="245"/>
      <c r="LTY56" s="245"/>
      <c r="LTZ56" s="245"/>
      <c r="LUA56" s="245"/>
      <c r="LUB56" s="245"/>
      <c r="LUC56" s="245"/>
      <c r="LUD56" s="245"/>
      <c r="LUE56" s="245"/>
      <c r="LUF56" s="245"/>
      <c r="LUG56" s="245"/>
      <c r="LUH56" s="245"/>
      <c r="LUI56" s="245"/>
      <c r="LUJ56" s="245"/>
      <c r="LUK56" s="245"/>
      <c r="LUL56" s="245"/>
      <c r="LUM56" s="245"/>
      <c r="LUN56" s="245"/>
      <c r="LUO56" s="245"/>
      <c r="LUP56" s="245"/>
      <c r="LUQ56" s="245"/>
      <c r="LUR56" s="245"/>
      <c r="LUS56" s="245"/>
      <c r="LUT56" s="245"/>
      <c r="LUU56" s="245"/>
      <c r="LUV56" s="245"/>
      <c r="LUW56" s="245"/>
      <c r="LUX56" s="245"/>
      <c r="LUY56" s="245"/>
      <c r="LUZ56" s="245"/>
      <c r="LVA56" s="245"/>
      <c r="LVB56" s="245"/>
      <c r="LVC56" s="245"/>
      <c r="LVD56" s="245"/>
      <c r="LVE56" s="245"/>
      <c r="LVF56" s="245"/>
      <c r="LVG56" s="245"/>
      <c r="LVH56" s="245"/>
      <c r="LVI56" s="245"/>
      <c r="LVJ56" s="245"/>
      <c r="LVK56" s="245"/>
      <c r="LVL56" s="245"/>
      <c r="LVM56" s="245"/>
      <c r="LVN56" s="245"/>
      <c r="LVO56" s="245"/>
      <c r="LVP56" s="245"/>
      <c r="LVQ56" s="245"/>
      <c r="LVR56" s="245"/>
      <c r="LVS56" s="245"/>
      <c r="LVT56" s="245"/>
      <c r="LVU56" s="245"/>
      <c r="LVV56" s="245"/>
      <c r="LVW56" s="245"/>
      <c r="LVX56" s="245"/>
      <c r="LVY56" s="245"/>
      <c r="LVZ56" s="245"/>
      <c r="LWA56" s="245"/>
      <c r="LWB56" s="245"/>
      <c r="LWC56" s="245"/>
      <c r="LWD56" s="245"/>
      <c r="LWE56" s="245"/>
      <c r="LWF56" s="245"/>
      <c r="LWG56" s="245"/>
      <c r="LWH56" s="245"/>
      <c r="LWI56" s="245"/>
      <c r="LWJ56" s="245"/>
      <c r="LWK56" s="245"/>
      <c r="LWL56" s="245"/>
      <c r="LWM56" s="245"/>
      <c r="LWN56" s="245"/>
      <c r="LWO56" s="245"/>
      <c r="LWP56" s="245"/>
      <c r="LWQ56" s="245"/>
      <c r="LWR56" s="245"/>
      <c r="LWS56" s="245"/>
      <c r="LWT56" s="245"/>
      <c r="LWU56" s="245"/>
      <c r="LWV56" s="245"/>
      <c r="LWW56" s="245"/>
      <c r="LWX56" s="245"/>
      <c r="LWY56" s="245"/>
      <c r="LWZ56" s="245"/>
      <c r="LXA56" s="245"/>
      <c r="LXB56" s="245"/>
      <c r="LXC56" s="245"/>
      <c r="LXD56" s="245"/>
      <c r="LXE56" s="245"/>
      <c r="LXF56" s="245"/>
      <c r="LXG56" s="245"/>
      <c r="LXH56" s="245"/>
      <c r="LXI56" s="245"/>
      <c r="LXJ56" s="245"/>
      <c r="LXK56" s="245"/>
      <c r="LXL56" s="245"/>
      <c r="LXM56" s="245"/>
      <c r="LXN56" s="245"/>
      <c r="LXO56" s="245"/>
      <c r="LXP56" s="245"/>
      <c r="LXQ56" s="245"/>
      <c r="LXR56" s="245"/>
      <c r="LXS56" s="245"/>
      <c r="LXT56" s="245"/>
      <c r="LXU56" s="245"/>
      <c r="LXV56" s="245"/>
      <c r="LXW56" s="245"/>
      <c r="LXX56" s="245"/>
      <c r="LXY56" s="245"/>
      <c r="LXZ56" s="245"/>
      <c r="LYA56" s="245"/>
      <c r="LYB56" s="245"/>
      <c r="LYC56" s="245"/>
      <c r="LYD56" s="245"/>
      <c r="LYE56" s="245"/>
      <c r="LYF56" s="245"/>
      <c r="LYG56" s="245"/>
      <c r="LYH56" s="245"/>
      <c r="LYI56" s="245"/>
      <c r="LYJ56" s="245"/>
      <c r="LYK56" s="245"/>
      <c r="LYL56" s="245"/>
      <c r="LYM56" s="245"/>
      <c r="LYN56" s="245"/>
      <c r="LYO56" s="245"/>
      <c r="LYP56" s="245"/>
      <c r="LYQ56" s="245"/>
      <c r="LYR56" s="245"/>
      <c r="LYS56" s="245"/>
      <c r="LYT56" s="245"/>
      <c r="LYU56" s="245"/>
      <c r="LYV56" s="245"/>
      <c r="LYW56" s="245"/>
      <c r="LYX56" s="245"/>
      <c r="LYY56" s="245"/>
      <c r="LYZ56" s="245"/>
      <c r="LZA56" s="245"/>
      <c r="LZB56" s="245"/>
      <c r="LZC56" s="245"/>
      <c r="LZD56" s="245"/>
      <c r="LZE56" s="245"/>
      <c r="LZF56" s="245"/>
      <c r="LZG56" s="245"/>
      <c r="LZH56" s="245"/>
      <c r="LZI56" s="245"/>
      <c r="LZJ56" s="245"/>
      <c r="LZK56" s="245"/>
      <c r="LZL56" s="245"/>
      <c r="LZM56" s="245"/>
      <c r="LZN56" s="245"/>
      <c r="LZO56" s="245"/>
      <c r="LZP56" s="245"/>
      <c r="LZQ56" s="245"/>
      <c r="LZR56" s="245"/>
      <c r="LZS56" s="245"/>
      <c r="LZT56" s="245"/>
      <c r="LZU56" s="245"/>
      <c r="LZV56" s="245"/>
      <c r="LZW56" s="245"/>
      <c r="LZX56" s="245"/>
      <c r="LZY56" s="245"/>
      <c r="LZZ56" s="245"/>
      <c r="MAA56" s="245"/>
      <c r="MAB56" s="245"/>
      <c r="MAC56" s="245"/>
      <c r="MAD56" s="245"/>
      <c r="MAE56" s="245"/>
      <c r="MAF56" s="245"/>
      <c r="MAG56" s="245"/>
      <c r="MAH56" s="245"/>
      <c r="MAI56" s="245"/>
      <c r="MAJ56" s="245"/>
      <c r="MAK56" s="245"/>
      <c r="MAL56" s="245"/>
      <c r="MAM56" s="245"/>
      <c r="MAN56" s="245"/>
      <c r="MAO56" s="245"/>
      <c r="MAP56" s="245"/>
      <c r="MAQ56" s="245"/>
      <c r="MAR56" s="245"/>
      <c r="MAS56" s="245"/>
      <c r="MAT56" s="245"/>
      <c r="MAU56" s="245"/>
      <c r="MAV56" s="245"/>
      <c r="MAW56" s="245"/>
      <c r="MAX56" s="245"/>
      <c r="MAY56" s="245"/>
      <c r="MAZ56" s="245"/>
      <c r="MBA56" s="245"/>
      <c r="MBB56" s="245"/>
      <c r="MBC56" s="245"/>
      <c r="MBD56" s="245"/>
      <c r="MBE56" s="245"/>
      <c r="MBF56" s="245"/>
      <c r="MBG56" s="245"/>
      <c r="MBH56" s="245"/>
      <c r="MBI56" s="245"/>
      <c r="MBJ56" s="245"/>
      <c r="MBK56" s="245"/>
      <c r="MBL56" s="245"/>
      <c r="MBM56" s="245"/>
      <c r="MBN56" s="245"/>
      <c r="MBO56" s="245"/>
      <c r="MBP56" s="245"/>
      <c r="MBQ56" s="245"/>
      <c r="MBR56" s="245"/>
      <c r="MBS56" s="245"/>
      <c r="MBT56" s="245"/>
      <c r="MBU56" s="245"/>
      <c r="MBV56" s="245"/>
      <c r="MBW56" s="245"/>
      <c r="MBX56" s="245"/>
      <c r="MBY56" s="245"/>
      <c r="MBZ56" s="245"/>
      <c r="MCA56" s="245"/>
      <c r="MCB56" s="245"/>
      <c r="MCC56" s="245"/>
      <c r="MCD56" s="245"/>
      <c r="MCE56" s="245"/>
      <c r="MCF56" s="245"/>
      <c r="MCG56" s="245"/>
      <c r="MCH56" s="245"/>
      <c r="MCI56" s="245"/>
      <c r="MCJ56" s="245"/>
      <c r="MCK56" s="245"/>
      <c r="MCL56" s="245"/>
      <c r="MCM56" s="245"/>
      <c r="MCN56" s="245"/>
      <c r="MCO56" s="245"/>
      <c r="MCP56" s="245"/>
      <c r="MCQ56" s="245"/>
      <c r="MCR56" s="245"/>
      <c r="MCS56" s="245"/>
      <c r="MCT56" s="245"/>
      <c r="MCU56" s="245"/>
      <c r="MCV56" s="245"/>
      <c r="MCW56" s="245"/>
      <c r="MCX56" s="245"/>
      <c r="MCY56" s="245"/>
      <c r="MCZ56" s="245"/>
      <c r="MDA56" s="245"/>
      <c r="MDB56" s="245"/>
      <c r="MDC56" s="245"/>
      <c r="MDD56" s="245"/>
      <c r="MDE56" s="245"/>
      <c r="MDF56" s="245"/>
      <c r="MDG56" s="245"/>
      <c r="MDH56" s="245"/>
      <c r="MDI56" s="245"/>
      <c r="MDJ56" s="245"/>
      <c r="MDK56" s="245"/>
      <c r="MDL56" s="245"/>
      <c r="MDM56" s="245"/>
      <c r="MDN56" s="245"/>
      <c r="MDO56" s="245"/>
      <c r="MDP56" s="245"/>
      <c r="MDQ56" s="245"/>
      <c r="MDR56" s="245"/>
      <c r="MDS56" s="245"/>
      <c r="MDT56" s="245"/>
      <c r="MDU56" s="245"/>
      <c r="MDV56" s="245"/>
      <c r="MDW56" s="245"/>
      <c r="MDX56" s="245"/>
      <c r="MDY56" s="245"/>
      <c r="MDZ56" s="245"/>
      <c r="MEA56" s="245"/>
      <c r="MEB56" s="245"/>
      <c r="MEC56" s="245"/>
      <c r="MED56" s="245"/>
      <c r="MEE56" s="245"/>
      <c r="MEF56" s="245"/>
      <c r="MEG56" s="245"/>
      <c r="MEH56" s="245"/>
      <c r="MEI56" s="245"/>
      <c r="MEJ56" s="245"/>
      <c r="MEK56" s="245"/>
      <c r="MEL56" s="245"/>
      <c r="MEM56" s="245"/>
      <c r="MEN56" s="245"/>
      <c r="MEO56" s="245"/>
      <c r="MEP56" s="245"/>
      <c r="MEQ56" s="245"/>
      <c r="MER56" s="245"/>
      <c r="MES56" s="245"/>
      <c r="MET56" s="245"/>
      <c r="MEU56" s="245"/>
      <c r="MEV56" s="245"/>
      <c r="MEW56" s="245"/>
      <c r="MEX56" s="245"/>
      <c r="MEY56" s="245"/>
      <c r="MEZ56" s="245"/>
      <c r="MFA56" s="245"/>
      <c r="MFB56" s="245"/>
      <c r="MFC56" s="245"/>
      <c r="MFD56" s="245"/>
      <c r="MFE56" s="245"/>
      <c r="MFF56" s="245"/>
      <c r="MFG56" s="245"/>
      <c r="MFH56" s="245"/>
      <c r="MFI56" s="245"/>
      <c r="MFJ56" s="245"/>
      <c r="MFK56" s="245"/>
      <c r="MFL56" s="245"/>
      <c r="MFM56" s="245"/>
      <c r="MFN56" s="245"/>
      <c r="MFO56" s="245"/>
      <c r="MFP56" s="245"/>
      <c r="MFQ56" s="245"/>
      <c r="MFR56" s="245"/>
      <c r="MFS56" s="245"/>
      <c r="MFT56" s="245"/>
      <c r="MFU56" s="245"/>
      <c r="MFV56" s="245"/>
      <c r="MFW56" s="245"/>
      <c r="MFX56" s="245"/>
      <c r="MFY56" s="245"/>
      <c r="MFZ56" s="245"/>
      <c r="MGA56" s="245"/>
      <c r="MGB56" s="245"/>
      <c r="MGC56" s="245"/>
      <c r="MGD56" s="245"/>
      <c r="MGE56" s="245"/>
      <c r="MGF56" s="245"/>
      <c r="MGG56" s="245"/>
      <c r="MGH56" s="245"/>
      <c r="MGI56" s="245"/>
      <c r="MGJ56" s="245"/>
      <c r="MGK56" s="245"/>
      <c r="MGL56" s="245"/>
      <c r="MGM56" s="245"/>
      <c r="MGN56" s="245"/>
      <c r="MGO56" s="245"/>
      <c r="MGP56" s="245"/>
      <c r="MGQ56" s="245"/>
      <c r="MGR56" s="245"/>
      <c r="MGS56" s="245"/>
      <c r="MGT56" s="245"/>
      <c r="MGU56" s="245"/>
      <c r="MGV56" s="245"/>
      <c r="MGW56" s="245"/>
      <c r="MGX56" s="245"/>
      <c r="MGY56" s="245"/>
      <c r="MGZ56" s="245"/>
      <c r="MHA56" s="245"/>
      <c r="MHB56" s="245"/>
      <c r="MHC56" s="245"/>
      <c r="MHD56" s="245"/>
      <c r="MHE56" s="245"/>
      <c r="MHF56" s="245"/>
      <c r="MHG56" s="245"/>
      <c r="MHH56" s="245"/>
      <c r="MHI56" s="245"/>
      <c r="MHJ56" s="245"/>
      <c r="MHK56" s="245"/>
      <c r="MHL56" s="245"/>
      <c r="MHM56" s="245"/>
      <c r="MHN56" s="245"/>
      <c r="MHO56" s="245"/>
      <c r="MHP56" s="245"/>
      <c r="MHQ56" s="245"/>
      <c r="MHR56" s="245"/>
      <c r="MHS56" s="245"/>
      <c r="MHT56" s="245"/>
      <c r="MHU56" s="245"/>
      <c r="MHV56" s="245"/>
      <c r="MHW56" s="245"/>
      <c r="MHX56" s="245"/>
      <c r="MHY56" s="245"/>
      <c r="MHZ56" s="245"/>
      <c r="MIA56" s="245"/>
      <c r="MIB56" s="245"/>
      <c r="MIC56" s="245"/>
      <c r="MID56" s="245"/>
      <c r="MIE56" s="245"/>
      <c r="MIF56" s="245"/>
      <c r="MIG56" s="245"/>
      <c r="MIH56" s="245"/>
      <c r="MII56" s="245"/>
      <c r="MIJ56" s="245"/>
      <c r="MIK56" s="245"/>
      <c r="MIL56" s="245"/>
      <c r="MIM56" s="245"/>
      <c r="MIN56" s="245"/>
      <c r="MIO56" s="245"/>
      <c r="MIP56" s="245"/>
      <c r="MIQ56" s="245"/>
      <c r="MIR56" s="245"/>
      <c r="MIS56" s="245"/>
      <c r="MIT56" s="245"/>
      <c r="MIU56" s="245"/>
      <c r="MIV56" s="245"/>
      <c r="MIW56" s="245"/>
      <c r="MIX56" s="245"/>
      <c r="MIY56" s="245"/>
      <c r="MIZ56" s="245"/>
      <c r="MJA56" s="245"/>
      <c r="MJB56" s="245"/>
      <c r="MJC56" s="245"/>
      <c r="MJD56" s="245"/>
      <c r="MJE56" s="245"/>
      <c r="MJF56" s="245"/>
      <c r="MJG56" s="245"/>
      <c r="MJH56" s="245"/>
      <c r="MJI56" s="245"/>
      <c r="MJJ56" s="245"/>
      <c r="MJK56" s="245"/>
      <c r="MJL56" s="245"/>
      <c r="MJM56" s="245"/>
      <c r="MJN56" s="245"/>
      <c r="MJO56" s="245"/>
      <c r="MJP56" s="245"/>
      <c r="MJQ56" s="245"/>
      <c r="MJR56" s="245"/>
      <c r="MJS56" s="245"/>
      <c r="MJT56" s="245"/>
      <c r="MJU56" s="245"/>
      <c r="MJV56" s="245"/>
      <c r="MJW56" s="245"/>
      <c r="MJX56" s="245"/>
      <c r="MJY56" s="245"/>
      <c r="MJZ56" s="245"/>
      <c r="MKA56" s="245"/>
      <c r="MKB56" s="245"/>
      <c r="MKC56" s="245"/>
      <c r="MKD56" s="245"/>
      <c r="MKE56" s="245"/>
      <c r="MKF56" s="245"/>
      <c r="MKG56" s="245"/>
      <c r="MKH56" s="245"/>
      <c r="MKI56" s="245"/>
      <c r="MKJ56" s="245"/>
      <c r="MKK56" s="245"/>
      <c r="MKL56" s="245"/>
      <c r="MKM56" s="245"/>
      <c r="MKN56" s="245"/>
      <c r="MKO56" s="245"/>
      <c r="MKP56" s="245"/>
      <c r="MKQ56" s="245"/>
      <c r="MKR56" s="245"/>
      <c r="MKS56" s="245"/>
      <c r="MKT56" s="245"/>
      <c r="MKU56" s="245"/>
      <c r="MKV56" s="245"/>
      <c r="MKW56" s="245"/>
      <c r="MKX56" s="245"/>
      <c r="MKY56" s="245"/>
      <c r="MKZ56" s="245"/>
      <c r="MLA56" s="245"/>
      <c r="MLB56" s="245"/>
      <c r="MLC56" s="245"/>
      <c r="MLD56" s="245"/>
      <c r="MLE56" s="245"/>
      <c r="MLF56" s="245"/>
      <c r="MLG56" s="245"/>
      <c r="MLH56" s="245"/>
      <c r="MLI56" s="245"/>
      <c r="MLJ56" s="245"/>
      <c r="MLK56" s="245"/>
      <c r="MLL56" s="245"/>
      <c r="MLM56" s="245"/>
      <c r="MLN56" s="245"/>
      <c r="MLO56" s="245"/>
      <c r="MLP56" s="245"/>
      <c r="MLQ56" s="245"/>
      <c r="MLR56" s="245"/>
      <c r="MLS56" s="245"/>
      <c r="MLT56" s="245"/>
      <c r="MLU56" s="245"/>
      <c r="MLV56" s="245"/>
      <c r="MLW56" s="245"/>
      <c r="MLX56" s="245"/>
      <c r="MLY56" s="245"/>
      <c r="MLZ56" s="245"/>
      <c r="MMA56" s="245"/>
      <c r="MMB56" s="245"/>
      <c r="MMC56" s="245"/>
      <c r="MMD56" s="245"/>
      <c r="MME56" s="245"/>
      <c r="MMF56" s="245"/>
      <c r="MMG56" s="245"/>
      <c r="MMH56" s="245"/>
      <c r="MMI56" s="245"/>
      <c r="MMJ56" s="245"/>
      <c r="MMK56" s="245"/>
      <c r="MML56" s="245"/>
      <c r="MMM56" s="245"/>
      <c r="MMN56" s="245"/>
      <c r="MMO56" s="245"/>
      <c r="MMP56" s="245"/>
      <c r="MMQ56" s="245"/>
      <c r="MMR56" s="245"/>
      <c r="MMS56" s="245"/>
      <c r="MMT56" s="245"/>
      <c r="MMU56" s="245"/>
      <c r="MMV56" s="245"/>
      <c r="MMW56" s="245"/>
      <c r="MMX56" s="245"/>
      <c r="MMY56" s="245"/>
      <c r="MMZ56" s="245"/>
      <c r="MNA56" s="245"/>
      <c r="MNB56" s="245"/>
      <c r="MNC56" s="245"/>
      <c r="MND56" s="245"/>
      <c r="MNE56" s="245"/>
      <c r="MNF56" s="245"/>
      <c r="MNG56" s="245"/>
      <c r="MNH56" s="245"/>
      <c r="MNI56" s="245"/>
      <c r="MNJ56" s="245"/>
      <c r="MNK56" s="245"/>
      <c r="MNL56" s="245"/>
      <c r="MNM56" s="245"/>
      <c r="MNN56" s="245"/>
      <c r="MNO56" s="245"/>
      <c r="MNP56" s="245"/>
      <c r="MNQ56" s="245"/>
      <c r="MNR56" s="245"/>
      <c r="MNS56" s="245"/>
      <c r="MNT56" s="245"/>
      <c r="MNU56" s="245"/>
      <c r="MNV56" s="245"/>
      <c r="MNW56" s="245"/>
      <c r="MNX56" s="245"/>
      <c r="MNY56" s="245"/>
      <c r="MNZ56" s="245"/>
      <c r="MOA56" s="245"/>
      <c r="MOB56" s="245"/>
      <c r="MOC56" s="245"/>
      <c r="MOD56" s="245"/>
      <c r="MOE56" s="245"/>
      <c r="MOF56" s="245"/>
      <c r="MOG56" s="245"/>
      <c r="MOH56" s="245"/>
      <c r="MOI56" s="245"/>
      <c r="MOJ56" s="245"/>
      <c r="MOK56" s="245"/>
      <c r="MOL56" s="245"/>
      <c r="MOM56" s="245"/>
      <c r="MON56" s="245"/>
      <c r="MOO56" s="245"/>
      <c r="MOP56" s="245"/>
      <c r="MOQ56" s="245"/>
      <c r="MOR56" s="245"/>
      <c r="MOS56" s="245"/>
      <c r="MOT56" s="245"/>
      <c r="MOU56" s="245"/>
      <c r="MOV56" s="245"/>
      <c r="MOW56" s="245"/>
      <c r="MOX56" s="245"/>
      <c r="MOY56" s="245"/>
      <c r="MOZ56" s="245"/>
      <c r="MPA56" s="245"/>
      <c r="MPB56" s="245"/>
      <c r="MPC56" s="245"/>
      <c r="MPD56" s="245"/>
      <c r="MPE56" s="245"/>
      <c r="MPF56" s="245"/>
      <c r="MPG56" s="245"/>
      <c r="MPH56" s="245"/>
      <c r="MPI56" s="245"/>
      <c r="MPJ56" s="245"/>
      <c r="MPK56" s="245"/>
      <c r="MPL56" s="245"/>
      <c r="MPM56" s="245"/>
      <c r="MPN56" s="245"/>
      <c r="MPO56" s="245"/>
      <c r="MPP56" s="245"/>
      <c r="MPQ56" s="245"/>
      <c r="MPR56" s="245"/>
      <c r="MPS56" s="245"/>
      <c r="MPT56" s="245"/>
      <c r="MPU56" s="245"/>
      <c r="MPV56" s="245"/>
      <c r="MPW56" s="245"/>
      <c r="MPX56" s="245"/>
      <c r="MPY56" s="245"/>
      <c r="MPZ56" s="245"/>
      <c r="MQA56" s="245"/>
      <c r="MQB56" s="245"/>
      <c r="MQC56" s="245"/>
      <c r="MQD56" s="245"/>
      <c r="MQE56" s="245"/>
      <c r="MQF56" s="245"/>
      <c r="MQG56" s="245"/>
      <c r="MQH56" s="245"/>
      <c r="MQI56" s="245"/>
      <c r="MQJ56" s="245"/>
      <c r="MQK56" s="245"/>
      <c r="MQL56" s="245"/>
      <c r="MQM56" s="245"/>
      <c r="MQN56" s="245"/>
      <c r="MQO56" s="245"/>
      <c r="MQP56" s="245"/>
      <c r="MQQ56" s="245"/>
      <c r="MQR56" s="245"/>
      <c r="MQS56" s="245"/>
      <c r="MQT56" s="245"/>
      <c r="MQU56" s="245"/>
      <c r="MQV56" s="245"/>
      <c r="MQW56" s="245"/>
      <c r="MQX56" s="245"/>
      <c r="MQY56" s="245"/>
      <c r="MQZ56" s="245"/>
      <c r="MRA56" s="245"/>
      <c r="MRB56" s="245"/>
      <c r="MRC56" s="245"/>
      <c r="MRD56" s="245"/>
      <c r="MRE56" s="245"/>
      <c r="MRF56" s="245"/>
      <c r="MRG56" s="245"/>
      <c r="MRH56" s="245"/>
      <c r="MRI56" s="245"/>
      <c r="MRJ56" s="245"/>
      <c r="MRK56" s="245"/>
      <c r="MRL56" s="245"/>
      <c r="MRM56" s="245"/>
      <c r="MRN56" s="245"/>
      <c r="MRO56" s="245"/>
      <c r="MRP56" s="245"/>
      <c r="MRQ56" s="245"/>
      <c r="MRR56" s="245"/>
      <c r="MRS56" s="245"/>
      <c r="MRT56" s="245"/>
      <c r="MRU56" s="245"/>
      <c r="MRV56" s="245"/>
      <c r="MRW56" s="245"/>
      <c r="MRX56" s="245"/>
      <c r="MRY56" s="245"/>
      <c r="MRZ56" s="245"/>
      <c r="MSA56" s="245"/>
      <c r="MSB56" s="245"/>
      <c r="MSC56" s="245"/>
      <c r="MSD56" s="245"/>
      <c r="MSE56" s="245"/>
      <c r="MSF56" s="245"/>
      <c r="MSG56" s="245"/>
      <c r="MSH56" s="245"/>
      <c r="MSI56" s="245"/>
      <c r="MSJ56" s="245"/>
      <c r="MSK56" s="245"/>
      <c r="MSL56" s="245"/>
      <c r="MSM56" s="245"/>
      <c r="MSN56" s="245"/>
      <c r="MSO56" s="245"/>
      <c r="MSP56" s="245"/>
      <c r="MSQ56" s="245"/>
      <c r="MSR56" s="245"/>
      <c r="MSS56" s="245"/>
      <c r="MST56" s="245"/>
      <c r="MSU56" s="245"/>
      <c r="MSV56" s="245"/>
      <c r="MSW56" s="245"/>
      <c r="MSX56" s="245"/>
      <c r="MSY56" s="245"/>
      <c r="MSZ56" s="245"/>
      <c r="MTA56" s="245"/>
      <c r="MTB56" s="245"/>
      <c r="MTC56" s="245"/>
      <c r="MTD56" s="245"/>
      <c r="MTE56" s="245"/>
      <c r="MTF56" s="245"/>
      <c r="MTG56" s="245"/>
      <c r="MTH56" s="245"/>
      <c r="MTI56" s="245"/>
      <c r="MTJ56" s="245"/>
      <c r="MTK56" s="245"/>
      <c r="MTL56" s="245"/>
      <c r="MTM56" s="245"/>
      <c r="MTN56" s="245"/>
      <c r="MTO56" s="245"/>
      <c r="MTP56" s="245"/>
      <c r="MTQ56" s="245"/>
      <c r="MTR56" s="245"/>
      <c r="MTS56" s="245"/>
      <c r="MTT56" s="245"/>
      <c r="MTU56" s="245"/>
      <c r="MTV56" s="245"/>
      <c r="MTW56" s="245"/>
      <c r="MTX56" s="245"/>
      <c r="MTY56" s="245"/>
      <c r="MTZ56" s="245"/>
      <c r="MUA56" s="245"/>
      <c r="MUB56" s="245"/>
      <c r="MUC56" s="245"/>
      <c r="MUD56" s="245"/>
      <c r="MUE56" s="245"/>
      <c r="MUF56" s="245"/>
      <c r="MUG56" s="245"/>
      <c r="MUH56" s="245"/>
      <c r="MUI56" s="245"/>
      <c r="MUJ56" s="245"/>
      <c r="MUK56" s="245"/>
      <c r="MUL56" s="245"/>
      <c r="MUM56" s="245"/>
      <c r="MUN56" s="245"/>
      <c r="MUO56" s="245"/>
      <c r="MUP56" s="245"/>
      <c r="MUQ56" s="245"/>
      <c r="MUR56" s="245"/>
      <c r="MUS56" s="245"/>
      <c r="MUT56" s="245"/>
      <c r="MUU56" s="245"/>
      <c r="MUV56" s="245"/>
      <c r="MUW56" s="245"/>
      <c r="MUX56" s="245"/>
      <c r="MUY56" s="245"/>
      <c r="MUZ56" s="245"/>
      <c r="MVA56" s="245"/>
      <c r="MVB56" s="245"/>
      <c r="MVC56" s="245"/>
      <c r="MVD56" s="245"/>
      <c r="MVE56" s="245"/>
      <c r="MVF56" s="245"/>
      <c r="MVG56" s="245"/>
      <c r="MVH56" s="245"/>
      <c r="MVI56" s="245"/>
      <c r="MVJ56" s="245"/>
      <c r="MVK56" s="245"/>
      <c r="MVL56" s="245"/>
      <c r="MVM56" s="245"/>
      <c r="MVN56" s="245"/>
      <c r="MVO56" s="245"/>
      <c r="MVP56" s="245"/>
      <c r="MVQ56" s="245"/>
      <c r="MVR56" s="245"/>
      <c r="MVS56" s="245"/>
      <c r="MVT56" s="245"/>
      <c r="MVU56" s="245"/>
      <c r="MVV56" s="245"/>
      <c r="MVW56" s="245"/>
      <c r="MVX56" s="245"/>
      <c r="MVY56" s="245"/>
      <c r="MVZ56" s="245"/>
      <c r="MWA56" s="245"/>
      <c r="MWB56" s="245"/>
      <c r="MWC56" s="245"/>
      <c r="MWD56" s="245"/>
      <c r="MWE56" s="245"/>
      <c r="MWF56" s="245"/>
      <c r="MWG56" s="245"/>
      <c r="MWH56" s="245"/>
      <c r="MWI56" s="245"/>
      <c r="MWJ56" s="245"/>
      <c r="MWK56" s="245"/>
      <c r="MWL56" s="245"/>
      <c r="MWM56" s="245"/>
      <c r="MWN56" s="245"/>
      <c r="MWO56" s="245"/>
      <c r="MWP56" s="245"/>
      <c r="MWQ56" s="245"/>
      <c r="MWR56" s="245"/>
      <c r="MWS56" s="245"/>
      <c r="MWT56" s="245"/>
      <c r="MWU56" s="245"/>
      <c r="MWV56" s="245"/>
      <c r="MWW56" s="245"/>
      <c r="MWX56" s="245"/>
      <c r="MWY56" s="245"/>
      <c r="MWZ56" s="245"/>
      <c r="MXA56" s="245"/>
      <c r="MXB56" s="245"/>
      <c r="MXC56" s="245"/>
      <c r="MXD56" s="245"/>
      <c r="MXE56" s="245"/>
      <c r="MXF56" s="245"/>
      <c r="MXG56" s="245"/>
      <c r="MXH56" s="245"/>
      <c r="MXI56" s="245"/>
      <c r="MXJ56" s="245"/>
      <c r="MXK56" s="245"/>
      <c r="MXL56" s="245"/>
      <c r="MXM56" s="245"/>
      <c r="MXN56" s="245"/>
      <c r="MXO56" s="245"/>
      <c r="MXP56" s="245"/>
      <c r="MXQ56" s="245"/>
      <c r="MXR56" s="245"/>
      <c r="MXS56" s="245"/>
      <c r="MXT56" s="245"/>
      <c r="MXU56" s="245"/>
      <c r="MXV56" s="245"/>
      <c r="MXW56" s="245"/>
      <c r="MXX56" s="245"/>
      <c r="MXY56" s="245"/>
      <c r="MXZ56" s="245"/>
      <c r="MYA56" s="245"/>
      <c r="MYB56" s="245"/>
      <c r="MYC56" s="245"/>
      <c r="MYD56" s="245"/>
      <c r="MYE56" s="245"/>
      <c r="MYF56" s="245"/>
      <c r="MYG56" s="245"/>
      <c r="MYH56" s="245"/>
      <c r="MYI56" s="245"/>
      <c r="MYJ56" s="245"/>
      <c r="MYK56" s="245"/>
      <c r="MYL56" s="245"/>
      <c r="MYM56" s="245"/>
      <c r="MYN56" s="245"/>
      <c r="MYO56" s="245"/>
      <c r="MYP56" s="245"/>
      <c r="MYQ56" s="245"/>
      <c r="MYR56" s="245"/>
      <c r="MYS56" s="245"/>
      <c r="MYT56" s="245"/>
      <c r="MYU56" s="245"/>
      <c r="MYV56" s="245"/>
      <c r="MYW56" s="245"/>
      <c r="MYX56" s="245"/>
      <c r="MYY56" s="245"/>
      <c r="MYZ56" s="245"/>
      <c r="MZA56" s="245"/>
      <c r="MZB56" s="245"/>
      <c r="MZC56" s="245"/>
      <c r="MZD56" s="245"/>
      <c r="MZE56" s="245"/>
      <c r="MZF56" s="245"/>
      <c r="MZG56" s="245"/>
      <c r="MZH56" s="245"/>
      <c r="MZI56" s="245"/>
      <c r="MZJ56" s="245"/>
      <c r="MZK56" s="245"/>
      <c r="MZL56" s="245"/>
      <c r="MZM56" s="245"/>
      <c r="MZN56" s="245"/>
      <c r="MZO56" s="245"/>
      <c r="MZP56" s="245"/>
      <c r="MZQ56" s="245"/>
      <c r="MZR56" s="245"/>
      <c r="MZS56" s="245"/>
      <c r="MZT56" s="245"/>
      <c r="MZU56" s="245"/>
      <c r="MZV56" s="245"/>
      <c r="MZW56" s="245"/>
      <c r="MZX56" s="245"/>
      <c r="MZY56" s="245"/>
      <c r="MZZ56" s="245"/>
      <c r="NAA56" s="245"/>
      <c r="NAB56" s="245"/>
      <c r="NAC56" s="245"/>
      <c r="NAD56" s="245"/>
      <c r="NAE56" s="245"/>
      <c r="NAF56" s="245"/>
      <c r="NAG56" s="245"/>
      <c r="NAH56" s="245"/>
      <c r="NAI56" s="245"/>
      <c r="NAJ56" s="245"/>
      <c r="NAK56" s="245"/>
      <c r="NAL56" s="245"/>
      <c r="NAM56" s="245"/>
      <c r="NAN56" s="245"/>
      <c r="NAO56" s="245"/>
      <c r="NAP56" s="245"/>
      <c r="NAQ56" s="245"/>
      <c r="NAR56" s="245"/>
      <c r="NAS56" s="245"/>
      <c r="NAT56" s="245"/>
      <c r="NAU56" s="245"/>
      <c r="NAV56" s="245"/>
      <c r="NAW56" s="245"/>
      <c r="NAX56" s="245"/>
      <c r="NAY56" s="245"/>
      <c r="NAZ56" s="245"/>
      <c r="NBA56" s="245"/>
      <c r="NBB56" s="245"/>
      <c r="NBC56" s="245"/>
      <c r="NBD56" s="245"/>
      <c r="NBE56" s="245"/>
      <c r="NBF56" s="245"/>
      <c r="NBG56" s="245"/>
      <c r="NBH56" s="245"/>
      <c r="NBI56" s="245"/>
      <c r="NBJ56" s="245"/>
      <c r="NBK56" s="245"/>
      <c r="NBL56" s="245"/>
      <c r="NBM56" s="245"/>
      <c r="NBN56" s="245"/>
      <c r="NBO56" s="245"/>
      <c r="NBP56" s="245"/>
      <c r="NBQ56" s="245"/>
      <c r="NBR56" s="245"/>
      <c r="NBS56" s="245"/>
      <c r="NBT56" s="245"/>
      <c r="NBU56" s="245"/>
      <c r="NBV56" s="245"/>
      <c r="NBW56" s="245"/>
      <c r="NBX56" s="245"/>
      <c r="NBY56" s="245"/>
      <c r="NBZ56" s="245"/>
      <c r="NCA56" s="245"/>
      <c r="NCB56" s="245"/>
      <c r="NCC56" s="245"/>
      <c r="NCD56" s="245"/>
      <c r="NCE56" s="245"/>
      <c r="NCF56" s="245"/>
      <c r="NCG56" s="245"/>
      <c r="NCH56" s="245"/>
      <c r="NCI56" s="245"/>
      <c r="NCJ56" s="245"/>
      <c r="NCK56" s="245"/>
      <c r="NCL56" s="245"/>
      <c r="NCM56" s="245"/>
      <c r="NCN56" s="245"/>
      <c r="NCO56" s="245"/>
      <c r="NCP56" s="245"/>
      <c r="NCQ56" s="245"/>
      <c r="NCR56" s="245"/>
      <c r="NCS56" s="245"/>
      <c r="NCT56" s="245"/>
      <c r="NCU56" s="245"/>
      <c r="NCV56" s="245"/>
      <c r="NCW56" s="245"/>
      <c r="NCX56" s="245"/>
      <c r="NCY56" s="245"/>
      <c r="NCZ56" s="245"/>
      <c r="NDA56" s="245"/>
      <c r="NDB56" s="245"/>
      <c r="NDC56" s="245"/>
      <c r="NDD56" s="245"/>
      <c r="NDE56" s="245"/>
      <c r="NDF56" s="245"/>
      <c r="NDG56" s="245"/>
      <c r="NDH56" s="245"/>
      <c r="NDI56" s="245"/>
      <c r="NDJ56" s="245"/>
      <c r="NDK56" s="245"/>
      <c r="NDL56" s="245"/>
      <c r="NDM56" s="245"/>
      <c r="NDN56" s="245"/>
      <c r="NDO56" s="245"/>
      <c r="NDP56" s="245"/>
      <c r="NDQ56" s="245"/>
      <c r="NDR56" s="245"/>
      <c r="NDS56" s="245"/>
      <c r="NDT56" s="245"/>
      <c r="NDU56" s="245"/>
      <c r="NDV56" s="245"/>
      <c r="NDW56" s="245"/>
      <c r="NDX56" s="245"/>
      <c r="NDY56" s="245"/>
      <c r="NDZ56" s="245"/>
      <c r="NEA56" s="245"/>
      <c r="NEB56" s="245"/>
      <c r="NEC56" s="245"/>
      <c r="NED56" s="245"/>
      <c r="NEE56" s="245"/>
      <c r="NEF56" s="245"/>
      <c r="NEG56" s="245"/>
      <c r="NEH56" s="245"/>
      <c r="NEI56" s="245"/>
      <c r="NEJ56" s="245"/>
      <c r="NEK56" s="245"/>
      <c r="NEL56" s="245"/>
      <c r="NEM56" s="245"/>
      <c r="NEN56" s="245"/>
      <c r="NEO56" s="245"/>
      <c r="NEP56" s="245"/>
      <c r="NEQ56" s="245"/>
      <c r="NER56" s="245"/>
      <c r="NES56" s="245"/>
      <c r="NET56" s="245"/>
      <c r="NEU56" s="245"/>
      <c r="NEV56" s="245"/>
      <c r="NEW56" s="245"/>
      <c r="NEX56" s="245"/>
      <c r="NEY56" s="245"/>
      <c r="NEZ56" s="245"/>
      <c r="NFA56" s="245"/>
      <c r="NFB56" s="245"/>
      <c r="NFC56" s="245"/>
      <c r="NFD56" s="245"/>
      <c r="NFE56" s="245"/>
      <c r="NFF56" s="245"/>
      <c r="NFG56" s="245"/>
      <c r="NFH56" s="245"/>
      <c r="NFI56" s="245"/>
      <c r="NFJ56" s="245"/>
      <c r="NFK56" s="245"/>
      <c r="NFL56" s="245"/>
      <c r="NFM56" s="245"/>
      <c r="NFN56" s="245"/>
      <c r="NFO56" s="245"/>
      <c r="NFP56" s="245"/>
      <c r="NFQ56" s="245"/>
      <c r="NFR56" s="245"/>
      <c r="NFS56" s="245"/>
      <c r="NFT56" s="245"/>
      <c r="NFU56" s="245"/>
      <c r="NFV56" s="245"/>
      <c r="NFW56" s="245"/>
      <c r="NFX56" s="245"/>
      <c r="NFY56" s="245"/>
      <c r="NFZ56" s="245"/>
      <c r="NGA56" s="245"/>
      <c r="NGB56" s="245"/>
      <c r="NGC56" s="245"/>
      <c r="NGD56" s="245"/>
      <c r="NGE56" s="245"/>
      <c r="NGF56" s="245"/>
      <c r="NGG56" s="245"/>
      <c r="NGH56" s="245"/>
      <c r="NGI56" s="245"/>
      <c r="NGJ56" s="245"/>
      <c r="NGK56" s="245"/>
      <c r="NGL56" s="245"/>
      <c r="NGM56" s="245"/>
      <c r="NGN56" s="245"/>
      <c r="NGO56" s="245"/>
      <c r="NGP56" s="245"/>
      <c r="NGQ56" s="245"/>
      <c r="NGR56" s="245"/>
      <c r="NGS56" s="245"/>
      <c r="NGT56" s="245"/>
      <c r="NGU56" s="245"/>
      <c r="NGV56" s="245"/>
      <c r="NGW56" s="245"/>
      <c r="NGX56" s="245"/>
      <c r="NGY56" s="245"/>
      <c r="NGZ56" s="245"/>
      <c r="NHA56" s="245"/>
      <c r="NHB56" s="245"/>
      <c r="NHC56" s="245"/>
      <c r="NHD56" s="245"/>
      <c r="NHE56" s="245"/>
      <c r="NHF56" s="245"/>
      <c r="NHG56" s="245"/>
      <c r="NHH56" s="245"/>
      <c r="NHI56" s="245"/>
      <c r="NHJ56" s="245"/>
      <c r="NHK56" s="245"/>
      <c r="NHL56" s="245"/>
      <c r="NHM56" s="245"/>
      <c r="NHN56" s="245"/>
      <c r="NHO56" s="245"/>
      <c r="NHP56" s="245"/>
      <c r="NHQ56" s="245"/>
      <c r="NHR56" s="245"/>
      <c r="NHS56" s="245"/>
      <c r="NHT56" s="245"/>
      <c r="NHU56" s="245"/>
      <c r="NHV56" s="245"/>
      <c r="NHW56" s="245"/>
      <c r="NHX56" s="245"/>
      <c r="NHY56" s="245"/>
      <c r="NHZ56" s="245"/>
      <c r="NIA56" s="245"/>
      <c r="NIB56" s="245"/>
      <c r="NIC56" s="245"/>
      <c r="NID56" s="245"/>
      <c r="NIE56" s="245"/>
      <c r="NIF56" s="245"/>
      <c r="NIG56" s="245"/>
      <c r="NIH56" s="245"/>
      <c r="NII56" s="245"/>
      <c r="NIJ56" s="245"/>
      <c r="NIK56" s="245"/>
      <c r="NIL56" s="245"/>
      <c r="NIM56" s="245"/>
      <c r="NIN56" s="245"/>
      <c r="NIO56" s="245"/>
      <c r="NIP56" s="245"/>
      <c r="NIQ56" s="245"/>
      <c r="NIR56" s="245"/>
      <c r="NIS56" s="245"/>
      <c r="NIT56" s="245"/>
      <c r="NIU56" s="245"/>
      <c r="NIV56" s="245"/>
      <c r="NIW56" s="245"/>
      <c r="NIX56" s="245"/>
      <c r="NIY56" s="245"/>
      <c r="NIZ56" s="245"/>
      <c r="NJA56" s="245"/>
      <c r="NJB56" s="245"/>
      <c r="NJC56" s="245"/>
      <c r="NJD56" s="245"/>
      <c r="NJE56" s="245"/>
      <c r="NJF56" s="245"/>
      <c r="NJG56" s="245"/>
      <c r="NJH56" s="245"/>
      <c r="NJI56" s="245"/>
      <c r="NJJ56" s="245"/>
      <c r="NJK56" s="245"/>
      <c r="NJL56" s="245"/>
      <c r="NJM56" s="245"/>
      <c r="NJN56" s="245"/>
      <c r="NJO56" s="245"/>
      <c r="NJP56" s="245"/>
      <c r="NJQ56" s="245"/>
      <c r="NJR56" s="245"/>
      <c r="NJS56" s="245"/>
      <c r="NJT56" s="245"/>
      <c r="NJU56" s="245"/>
      <c r="NJV56" s="245"/>
      <c r="NJW56" s="245"/>
      <c r="NJX56" s="245"/>
      <c r="NJY56" s="245"/>
      <c r="NJZ56" s="245"/>
      <c r="NKA56" s="245"/>
      <c r="NKB56" s="245"/>
      <c r="NKC56" s="245"/>
      <c r="NKD56" s="245"/>
      <c r="NKE56" s="245"/>
      <c r="NKF56" s="245"/>
      <c r="NKG56" s="245"/>
      <c r="NKH56" s="245"/>
      <c r="NKI56" s="245"/>
      <c r="NKJ56" s="245"/>
      <c r="NKK56" s="245"/>
      <c r="NKL56" s="245"/>
      <c r="NKM56" s="245"/>
      <c r="NKN56" s="245"/>
      <c r="NKO56" s="245"/>
      <c r="NKP56" s="245"/>
      <c r="NKQ56" s="245"/>
      <c r="NKR56" s="245"/>
      <c r="NKS56" s="245"/>
      <c r="NKT56" s="245"/>
      <c r="NKU56" s="245"/>
      <c r="NKV56" s="245"/>
      <c r="NKW56" s="245"/>
      <c r="NKX56" s="245"/>
      <c r="NKY56" s="245"/>
      <c r="NKZ56" s="245"/>
      <c r="NLA56" s="245"/>
      <c r="NLB56" s="245"/>
      <c r="NLC56" s="245"/>
      <c r="NLD56" s="245"/>
      <c r="NLE56" s="245"/>
      <c r="NLF56" s="245"/>
      <c r="NLG56" s="245"/>
      <c r="NLH56" s="245"/>
      <c r="NLI56" s="245"/>
      <c r="NLJ56" s="245"/>
      <c r="NLK56" s="245"/>
      <c r="NLL56" s="245"/>
      <c r="NLM56" s="245"/>
      <c r="NLN56" s="245"/>
      <c r="NLO56" s="245"/>
      <c r="NLP56" s="245"/>
      <c r="NLQ56" s="245"/>
      <c r="NLR56" s="245"/>
      <c r="NLS56" s="245"/>
      <c r="NLT56" s="245"/>
      <c r="NLU56" s="245"/>
      <c r="NLV56" s="245"/>
      <c r="NLW56" s="245"/>
      <c r="NLX56" s="245"/>
      <c r="NLY56" s="245"/>
      <c r="NLZ56" s="245"/>
      <c r="NMA56" s="245"/>
      <c r="NMB56" s="245"/>
      <c r="NMC56" s="245"/>
      <c r="NMD56" s="245"/>
      <c r="NME56" s="245"/>
      <c r="NMF56" s="245"/>
      <c r="NMG56" s="245"/>
      <c r="NMH56" s="245"/>
      <c r="NMI56" s="245"/>
      <c r="NMJ56" s="245"/>
      <c r="NMK56" s="245"/>
      <c r="NML56" s="245"/>
      <c r="NMM56" s="245"/>
      <c r="NMN56" s="245"/>
      <c r="NMO56" s="245"/>
      <c r="NMP56" s="245"/>
      <c r="NMQ56" s="245"/>
      <c r="NMR56" s="245"/>
      <c r="NMS56" s="245"/>
      <c r="NMT56" s="245"/>
      <c r="NMU56" s="245"/>
      <c r="NMV56" s="245"/>
      <c r="NMW56" s="245"/>
      <c r="NMX56" s="245"/>
      <c r="NMY56" s="245"/>
      <c r="NMZ56" s="245"/>
      <c r="NNA56" s="245"/>
      <c r="NNB56" s="245"/>
      <c r="NNC56" s="245"/>
      <c r="NND56" s="245"/>
      <c r="NNE56" s="245"/>
      <c r="NNF56" s="245"/>
      <c r="NNG56" s="245"/>
      <c r="NNH56" s="245"/>
      <c r="NNI56" s="245"/>
      <c r="NNJ56" s="245"/>
      <c r="NNK56" s="245"/>
      <c r="NNL56" s="245"/>
      <c r="NNM56" s="245"/>
      <c r="NNN56" s="245"/>
      <c r="NNO56" s="245"/>
      <c r="NNP56" s="245"/>
      <c r="NNQ56" s="245"/>
      <c r="NNR56" s="245"/>
      <c r="NNS56" s="245"/>
      <c r="NNT56" s="245"/>
      <c r="NNU56" s="245"/>
      <c r="NNV56" s="245"/>
      <c r="NNW56" s="245"/>
      <c r="NNX56" s="245"/>
      <c r="NNY56" s="245"/>
      <c r="NNZ56" s="245"/>
      <c r="NOA56" s="245"/>
      <c r="NOB56" s="245"/>
      <c r="NOC56" s="245"/>
      <c r="NOD56" s="245"/>
      <c r="NOE56" s="245"/>
      <c r="NOF56" s="245"/>
      <c r="NOG56" s="245"/>
      <c r="NOH56" s="245"/>
      <c r="NOI56" s="245"/>
      <c r="NOJ56" s="245"/>
      <c r="NOK56" s="245"/>
      <c r="NOL56" s="245"/>
      <c r="NOM56" s="245"/>
      <c r="NON56" s="245"/>
      <c r="NOO56" s="245"/>
      <c r="NOP56" s="245"/>
      <c r="NOQ56" s="245"/>
      <c r="NOR56" s="245"/>
      <c r="NOS56" s="245"/>
      <c r="NOT56" s="245"/>
      <c r="NOU56" s="245"/>
      <c r="NOV56" s="245"/>
      <c r="NOW56" s="245"/>
      <c r="NOX56" s="245"/>
      <c r="NOY56" s="245"/>
      <c r="NOZ56" s="245"/>
      <c r="NPA56" s="245"/>
      <c r="NPB56" s="245"/>
      <c r="NPC56" s="245"/>
      <c r="NPD56" s="245"/>
      <c r="NPE56" s="245"/>
      <c r="NPF56" s="245"/>
      <c r="NPG56" s="245"/>
      <c r="NPH56" s="245"/>
      <c r="NPI56" s="245"/>
      <c r="NPJ56" s="245"/>
      <c r="NPK56" s="245"/>
      <c r="NPL56" s="245"/>
      <c r="NPM56" s="245"/>
      <c r="NPN56" s="245"/>
      <c r="NPO56" s="245"/>
      <c r="NPP56" s="245"/>
      <c r="NPQ56" s="245"/>
      <c r="NPR56" s="245"/>
      <c r="NPS56" s="245"/>
      <c r="NPT56" s="245"/>
      <c r="NPU56" s="245"/>
      <c r="NPV56" s="245"/>
      <c r="NPW56" s="245"/>
      <c r="NPX56" s="245"/>
      <c r="NPY56" s="245"/>
      <c r="NPZ56" s="245"/>
      <c r="NQA56" s="245"/>
      <c r="NQB56" s="245"/>
      <c r="NQC56" s="245"/>
      <c r="NQD56" s="245"/>
      <c r="NQE56" s="245"/>
      <c r="NQF56" s="245"/>
      <c r="NQG56" s="245"/>
      <c r="NQH56" s="245"/>
      <c r="NQI56" s="245"/>
      <c r="NQJ56" s="245"/>
      <c r="NQK56" s="245"/>
      <c r="NQL56" s="245"/>
      <c r="NQM56" s="245"/>
      <c r="NQN56" s="245"/>
      <c r="NQO56" s="245"/>
      <c r="NQP56" s="245"/>
      <c r="NQQ56" s="245"/>
      <c r="NQR56" s="245"/>
      <c r="NQS56" s="245"/>
      <c r="NQT56" s="245"/>
      <c r="NQU56" s="245"/>
      <c r="NQV56" s="245"/>
      <c r="NQW56" s="245"/>
      <c r="NQX56" s="245"/>
      <c r="NQY56" s="245"/>
      <c r="NQZ56" s="245"/>
      <c r="NRA56" s="245"/>
      <c r="NRB56" s="245"/>
      <c r="NRC56" s="245"/>
      <c r="NRD56" s="245"/>
      <c r="NRE56" s="245"/>
      <c r="NRF56" s="245"/>
      <c r="NRG56" s="245"/>
      <c r="NRH56" s="245"/>
      <c r="NRI56" s="245"/>
      <c r="NRJ56" s="245"/>
      <c r="NRK56" s="245"/>
      <c r="NRL56" s="245"/>
      <c r="NRM56" s="245"/>
      <c r="NRN56" s="245"/>
      <c r="NRO56" s="245"/>
      <c r="NRP56" s="245"/>
      <c r="NRQ56" s="245"/>
      <c r="NRR56" s="245"/>
      <c r="NRS56" s="245"/>
      <c r="NRT56" s="245"/>
      <c r="NRU56" s="245"/>
      <c r="NRV56" s="245"/>
      <c r="NRW56" s="245"/>
      <c r="NRX56" s="245"/>
      <c r="NRY56" s="245"/>
      <c r="NRZ56" s="245"/>
      <c r="NSA56" s="245"/>
      <c r="NSB56" s="245"/>
      <c r="NSC56" s="245"/>
      <c r="NSD56" s="245"/>
      <c r="NSE56" s="245"/>
      <c r="NSF56" s="245"/>
      <c r="NSG56" s="245"/>
      <c r="NSH56" s="245"/>
      <c r="NSI56" s="245"/>
      <c r="NSJ56" s="245"/>
      <c r="NSK56" s="245"/>
      <c r="NSL56" s="245"/>
      <c r="NSM56" s="245"/>
      <c r="NSN56" s="245"/>
      <c r="NSO56" s="245"/>
      <c r="NSP56" s="245"/>
      <c r="NSQ56" s="245"/>
      <c r="NSR56" s="245"/>
      <c r="NSS56" s="245"/>
      <c r="NST56" s="245"/>
      <c r="NSU56" s="245"/>
      <c r="NSV56" s="245"/>
      <c r="NSW56" s="245"/>
      <c r="NSX56" s="245"/>
      <c r="NSY56" s="245"/>
      <c r="NSZ56" s="245"/>
      <c r="NTA56" s="245"/>
      <c r="NTB56" s="245"/>
      <c r="NTC56" s="245"/>
      <c r="NTD56" s="245"/>
      <c r="NTE56" s="245"/>
      <c r="NTF56" s="245"/>
      <c r="NTG56" s="245"/>
      <c r="NTH56" s="245"/>
      <c r="NTI56" s="245"/>
      <c r="NTJ56" s="245"/>
      <c r="NTK56" s="245"/>
      <c r="NTL56" s="245"/>
      <c r="NTM56" s="245"/>
      <c r="NTN56" s="245"/>
      <c r="NTO56" s="245"/>
      <c r="NTP56" s="245"/>
      <c r="NTQ56" s="245"/>
      <c r="NTR56" s="245"/>
      <c r="NTS56" s="245"/>
      <c r="NTT56" s="245"/>
      <c r="NTU56" s="245"/>
      <c r="NTV56" s="245"/>
      <c r="NTW56" s="245"/>
      <c r="NTX56" s="245"/>
      <c r="NTY56" s="245"/>
      <c r="NTZ56" s="245"/>
      <c r="NUA56" s="245"/>
      <c r="NUB56" s="245"/>
      <c r="NUC56" s="245"/>
      <c r="NUD56" s="245"/>
      <c r="NUE56" s="245"/>
      <c r="NUF56" s="245"/>
      <c r="NUG56" s="245"/>
      <c r="NUH56" s="245"/>
      <c r="NUI56" s="245"/>
      <c r="NUJ56" s="245"/>
      <c r="NUK56" s="245"/>
      <c r="NUL56" s="245"/>
      <c r="NUM56" s="245"/>
      <c r="NUN56" s="245"/>
      <c r="NUO56" s="245"/>
      <c r="NUP56" s="245"/>
      <c r="NUQ56" s="245"/>
      <c r="NUR56" s="245"/>
      <c r="NUS56" s="245"/>
      <c r="NUT56" s="245"/>
      <c r="NUU56" s="245"/>
      <c r="NUV56" s="245"/>
      <c r="NUW56" s="245"/>
      <c r="NUX56" s="245"/>
      <c r="NUY56" s="245"/>
      <c r="NUZ56" s="245"/>
      <c r="NVA56" s="245"/>
      <c r="NVB56" s="245"/>
      <c r="NVC56" s="245"/>
      <c r="NVD56" s="245"/>
      <c r="NVE56" s="245"/>
      <c r="NVF56" s="245"/>
      <c r="NVG56" s="245"/>
      <c r="NVH56" s="245"/>
      <c r="NVI56" s="245"/>
      <c r="NVJ56" s="245"/>
      <c r="NVK56" s="245"/>
      <c r="NVL56" s="245"/>
      <c r="NVM56" s="245"/>
      <c r="NVN56" s="245"/>
      <c r="NVO56" s="245"/>
      <c r="NVP56" s="245"/>
      <c r="NVQ56" s="245"/>
      <c r="NVR56" s="245"/>
      <c r="NVS56" s="245"/>
      <c r="NVT56" s="245"/>
      <c r="NVU56" s="245"/>
      <c r="NVV56" s="245"/>
      <c r="NVW56" s="245"/>
      <c r="NVX56" s="245"/>
      <c r="NVY56" s="245"/>
      <c r="NVZ56" s="245"/>
      <c r="NWA56" s="245"/>
      <c r="NWB56" s="245"/>
      <c r="NWC56" s="245"/>
      <c r="NWD56" s="245"/>
      <c r="NWE56" s="245"/>
      <c r="NWF56" s="245"/>
      <c r="NWG56" s="245"/>
      <c r="NWH56" s="245"/>
      <c r="NWI56" s="245"/>
      <c r="NWJ56" s="245"/>
      <c r="NWK56" s="245"/>
      <c r="NWL56" s="245"/>
      <c r="NWM56" s="245"/>
      <c r="NWN56" s="245"/>
      <c r="NWO56" s="245"/>
      <c r="NWP56" s="245"/>
      <c r="NWQ56" s="245"/>
      <c r="NWR56" s="245"/>
      <c r="NWS56" s="245"/>
      <c r="NWT56" s="245"/>
      <c r="NWU56" s="245"/>
      <c r="NWV56" s="245"/>
      <c r="NWW56" s="245"/>
      <c r="NWX56" s="245"/>
      <c r="NWY56" s="245"/>
      <c r="NWZ56" s="245"/>
      <c r="NXA56" s="245"/>
      <c r="NXB56" s="245"/>
      <c r="NXC56" s="245"/>
      <c r="NXD56" s="245"/>
      <c r="NXE56" s="245"/>
      <c r="NXF56" s="245"/>
      <c r="NXG56" s="245"/>
      <c r="NXH56" s="245"/>
      <c r="NXI56" s="245"/>
      <c r="NXJ56" s="245"/>
      <c r="NXK56" s="245"/>
      <c r="NXL56" s="245"/>
      <c r="NXM56" s="245"/>
      <c r="NXN56" s="245"/>
      <c r="NXO56" s="245"/>
      <c r="NXP56" s="245"/>
      <c r="NXQ56" s="245"/>
      <c r="NXR56" s="245"/>
      <c r="NXS56" s="245"/>
      <c r="NXT56" s="245"/>
      <c r="NXU56" s="245"/>
      <c r="NXV56" s="245"/>
      <c r="NXW56" s="245"/>
      <c r="NXX56" s="245"/>
      <c r="NXY56" s="245"/>
      <c r="NXZ56" s="245"/>
      <c r="NYA56" s="245"/>
      <c r="NYB56" s="245"/>
      <c r="NYC56" s="245"/>
      <c r="NYD56" s="245"/>
      <c r="NYE56" s="245"/>
      <c r="NYF56" s="245"/>
      <c r="NYG56" s="245"/>
      <c r="NYH56" s="245"/>
      <c r="NYI56" s="245"/>
      <c r="NYJ56" s="245"/>
      <c r="NYK56" s="245"/>
      <c r="NYL56" s="245"/>
      <c r="NYM56" s="245"/>
      <c r="NYN56" s="245"/>
      <c r="NYO56" s="245"/>
      <c r="NYP56" s="245"/>
      <c r="NYQ56" s="245"/>
      <c r="NYR56" s="245"/>
      <c r="NYS56" s="245"/>
      <c r="NYT56" s="245"/>
      <c r="NYU56" s="245"/>
      <c r="NYV56" s="245"/>
      <c r="NYW56" s="245"/>
      <c r="NYX56" s="245"/>
      <c r="NYY56" s="245"/>
      <c r="NYZ56" s="245"/>
      <c r="NZA56" s="245"/>
      <c r="NZB56" s="245"/>
      <c r="NZC56" s="245"/>
      <c r="NZD56" s="245"/>
      <c r="NZE56" s="245"/>
      <c r="NZF56" s="245"/>
      <c r="NZG56" s="245"/>
      <c r="NZH56" s="245"/>
      <c r="NZI56" s="245"/>
      <c r="NZJ56" s="245"/>
      <c r="NZK56" s="245"/>
      <c r="NZL56" s="245"/>
      <c r="NZM56" s="245"/>
      <c r="NZN56" s="245"/>
      <c r="NZO56" s="245"/>
      <c r="NZP56" s="245"/>
      <c r="NZQ56" s="245"/>
      <c r="NZR56" s="245"/>
      <c r="NZS56" s="245"/>
      <c r="NZT56" s="245"/>
      <c r="NZU56" s="245"/>
      <c r="NZV56" s="245"/>
      <c r="NZW56" s="245"/>
      <c r="NZX56" s="245"/>
      <c r="NZY56" s="245"/>
      <c r="NZZ56" s="245"/>
      <c r="OAA56" s="245"/>
      <c r="OAB56" s="245"/>
      <c r="OAC56" s="245"/>
      <c r="OAD56" s="245"/>
      <c r="OAE56" s="245"/>
      <c r="OAF56" s="245"/>
      <c r="OAG56" s="245"/>
      <c r="OAH56" s="245"/>
      <c r="OAI56" s="245"/>
      <c r="OAJ56" s="245"/>
      <c r="OAK56" s="245"/>
      <c r="OAL56" s="245"/>
      <c r="OAM56" s="245"/>
      <c r="OAN56" s="245"/>
      <c r="OAO56" s="245"/>
      <c r="OAP56" s="245"/>
      <c r="OAQ56" s="245"/>
      <c r="OAR56" s="245"/>
      <c r="OAS56" s="245"/>
      <c r="OAT56" s="245"/>
      <c r="OAU56" s="245"/>
      <c r="OAV56" s="245"/>
      <c r="OAW56" s="245"/>
      <c r="OAX56" s="245"/>
      <c r="OAY56" s="245"/>
      <c r="OAZ56" s="245"/>
      <c r="OBA56" s="245"/>
      <c r="OBB56" s="245"/>
      <c r="OBC56" s="245"/>
      <c r="OBD56" s="245"/>
      <c r="OBE56" s="245"/>
      <c r="OBF56" s="245"/>
      <c r="OBG56" s="245"/>
      <c r="OBH56" s="245"/>
      <c r="OBI56" s="245"/>
      <c r="OBJ56" s="245"/>
      <c r="OBK56" s="245"/>
      <c r="OBL56" s="245"/>
      <c r="OBM56" s="245"/>
      <c r="OBN56" s="245"/>
      <c r="OBO56" s="245"/>
      <c r="OBP56" s="245"/>
      <c r="OBQ56" s="245"/>
      <c r="OBR56" s="245"/>
      <c r="OBS56" s="245"/>
      <c r="OBT56" s="245"/>
      <c r="OBU56" s="245"/>
      <c r="OBV56" s="245"/>
      <c r="OBW56" s="245"/>
      <c r="OBX56" s="245"/>
      <c r="OBY56" s="245"/>
      <c r="OBZ56" s="245"/>
      <c r="OCA56" s="245"/>
      <c r="OCB56" s="245"/>
      <c r="OCC56" s="245"/>
      <c r="OCD56" s="245"/>
      <c r="OCE56" s="245"/>
      <c r="OCF56" s="245"/>
      <c r="OCG56" s="245"/>
      <c r="OCH56" s="245"/>
      <c r="OCI56" s="245"/>
      <c r="OCJ56" s="245"/>
      <c r="OCK56" s="245"/>
      <c r="OCL56" s="245"/>
      <c r="OCM56" s="245"/>
      <c r="OCN56" s="245"/>
      <c r="OCO56" s="245"/>
      <c r="OCP56" s="245"/>
      <c r="OCQ56" s="245"/>
      <c r="OCR56" s="245"/>
      <c r="OCS56" s="245"/>
      <c r="OCT56" s="245"/>
      <c r="OCU56" s="245"/>
      <c r="OCV56" s="245"/>
      <c r="OCW56" s="245"/>
      <c r="OCX56" s="245"/>
      <c r="OCY56" s="245"/>
      <c r="OCZ56" s="245"/>
      <c r="ODA56" s="245"/>
      <c r="ODB56" s="245"/>
      <c r="ODC56" s="245"/>
      <c r="ODD56" s="245"/>
      <c r="ODE56" s="245"/>
      <c r="ODF56" s="245"/>
      <c r="ODG56" s="245"/>
      <c r="ODH56" s="245"/>
      <c r="ODI56" s="245"/>
      <c r="ODJ56" s="245"/>
      <c r="ODK56" s="245"/>
      <c r="ODL56" s="245"/>
      <c r="ODM56" s="245"/>
      <c r="ODN56" s="245"/>
      <c r="ODO56" s="245"/>
      <c r="ODP56" s="245"/>
      <c r="ODQ56" s="245"/>
      <c r="ODR56" s="245"/>
      <c r="ODS56" s="245"/>
      <c r="ODT56" s="245"/>
      <c r="ODU56" s="245"/>
      <c r="ODV56" s="245"/>
      <c r="ODW56" s="245"/>
      <c r="ODX56" s="245"/>
      <c r="ODY56" s="245"/>
      <c r="ODZ56" s="245"/>
      <c r="OEA56" s="245"/>
      <c r="OEB56" s="245"/>
      <c r="OEC56" s="245"/>
      <c r="OED56" s="245"/>
      <c r="OEE56" s="245"/>
      <c r="OEF56" s="245"/>
      <c r="OEG56" s="245"/>
      <c r="OEH56" s="245"/>
      <c r="OEI56" s="245"/>
      <c r="OEJ56" s="245"/>
      <c r="OEK56" s="245"/>
      <c r="OEL56" s="245"/>
      <c r="OEM56" s="245"/>
      <c r="OEN56" s="245"/>
      <c r="OEO56" s="245"/>
      <c r="OEP56" s="245"/>
      <c r="OEQ56" s="245"/>
      <c r="OER56" s="245"/>
      <c r="OES56" s="245"/>
      <c r="OET56" s="245"/>
      <c r="OEU56" s="245"/>
      <c r="OEV56" s="245"/>
      <c r="OEW56" s="245"/>
      <c r="OEX56" s="245"/>
      <c r="OEY56" s="245"/>
      <c r="OEZ56" s="245"/>
      <c r="OFA56" s="245"/>
      <c r="OFB56" s="245"/>
      <c r="OFC56" s="245"/>
      <c r="OFD56" s="245"/>
      <c r="OFE56" s="245"/>
      <c r="OFF56" s="245"/>
      <c r="OFG56" s="245"/>
      <c r="OFH56" s="245"/>
      <c r="OFI56" s="245"/>
      <c r="OFJ56" s="245"/>
      <c r="OFK56" s="245"/>
      <c r="OFL56" s="245"/>
      <c r="OFM56" s="245"/>
      <c r="OFN56" s="245"/>
      <c r="OFO56" s="245"/>
      <c r="OFP56" s="245"/>
      <c r="OFQ56" s="245"/>
      <c r="OFR56" s="245"/>
      <c r="OFS56" s="245"/>
      <c r="OFT56" s="245"/>
      <c r="OFU56" s="245"/>
      <c r="OFV56" s="245"/>
      <c r="OFW56" s="245"/>
      <c r="OFX56" s="245"/>
      <c r="OFY56" s="245"/>
      <c r="OFZ56" s="245"/>
      <c r="OGA56" s="245"/>
      <c r="OGB56" s="245"/>
      <c r="OGC56" s="245"/>
      <c r="OGD56" s="245"/>
      <c r="OGE56" s="245"/>
      <c r="OGF56" s="245"/>
      <c r="OGG56" s="245"/>
      <c r="OGH56" s="245"/>
      <c r="OGI56" s="245"/>
      <c r="OGJ56" s="245"/>
      <c r="OGK56" s="245"/>
      <c r="OGL56" s="245"/>
      <c r="OGM56" s="245"/>
      <c r="OGN56" s="245"/>
      <c r="OGO56" s="245"/>
      <c r="OGP56" s="245"/>
      <c r="OGQ56" s="245"/>
      <c r="OGR56" s="245"/>
      <c r="OGS56" s="245"/>
      <c r="OGT56" s="245"/>
      <c r="OGU56" s="245"/>
      <c r="OGV56" s="245"/>
      <c r="OGW56" s="245"/>
      <c r="OGX56" s="245"/>
      <c r="OGY56" s="245"/>
      <c r="OGZ56" s="245"/>
      <c r="OHA56" s="245"/>
      <c r="OHB56" s="245"/>
      <c r="OHC56" s="245"/>
      <c r="OHD56" s="245"/>
      <c r="OHE56" s="245"/>
      <c r="OHF56" s="245"/>
      <c r="OHG56" s="245"/>
      <c r="OHH56" s="245"/>
      <c r="OHI56" s="245"/>
      <c r="OHJ56" s="245"/>
      <c r="OHK56" s="245"/>
      <c r="OHL56" s="245"/>
      <c r="OHM56" s="245"/>
      <c r="OHN56" s="245"/>
      <c r="OHO56" s="245"/>
      <c r="OHP56" s="245"/>
      <c r="OHQ56" s="245"/>
      <c r="OHR56" s="245"/>
      <c r="OHS56" s="245"/>
      <c r="OHT56" s="245"/>
      <c r="OHU56" s="245"/>
      <c r="OHV56" s="245"/>
      <c r="OHW56" s="245"/>
      <c r="OHX56" s="245"/>
      <c r="OHY56" s="245"/>
      <c r="OHZ56" s="245"/>
      <c r="OIA56" s="245"/>
      <c r="OIB56" s="245"/>
      <c r="OIC56" s="245"/>
      <c r="OID56" s="245"/>
      <c r="OIE56" s="245"/>
      <c r="OIF56" s="245"/>
      <c r="OIG56" s="245"/>
      <c r="OIH56" s="245"/>
      <c r="OII56" s="245"/>
      <c r="OIJ56" s="245"/>
      <c r="OIK56" s="245"/>
      <c r="OIL56" s="245"/>
      <c r="OIM56" s="245"/>
      <c r="OIN56" s="245"/>
      <c r="OIO56" s="245"/>
      <c r="OIP56" s="245"/>
      <c r="OIQ56" s="245"/>
      <c r="OIR56" s="245"/>
      <c r="OIS56" s="245"/>
      <c r="OIT56" s="245"/>
      <c r="OIU56" s="245"/>
      <c r="OIV56" s="245"/>
      <c r="OIW56" s="245"/>
      <c r="OIX56" s="245"/>
      <c r="OIY56" s="245"/>
      <c r="OIZ56" s="245"/>
      <c r="OJA56" s="245"/>
      <c r="OJB56" s="245"/>
      <c r="OJC56" s="245"/>
      <c r="OJD56" s="245"/>
      <c r="OJE56" s="245"/>
      <c r="OJF56" s="245"/>
      <c r="OJG56" s="245"/>
      <c r="OJH56" s="245"/>
      <c r="OJI56" s="245"/>
      <c r="OJJ56" s="245"/>
      <c r="OJK56" s="245"/>
      <c r="OJL56" s="245"/>
      <c r="OJM56" s="245"/>
      <c r="OJN56" s="245"/>
      <c r="OJO56" s="245"/>
      <c r="OJP56" s="245"/>
      <c r="OJQ56" s="245"/>
      <c r="OJR56" s="245"/>
      <c r="OJS56" s="245"/>
      <c r="OJT56" s="245"/>
      <c r="OJU56" s="245"/>
      <c r="OJV56" s="245"/>
      <c r="OJW56" s="245"/>
      <c r="OJX56" s="245"/>
      <c r="OJY56" s="245"/>
      <c r="OJZ56" s="245"/>
      <c r="OKA56" s="245"/>
      <c r="OKB56" s="245"/>
      <c r="OKC56" s="245"/>
      <c r="OKD56" s="245"/>
      <c r="OKE56" s="245"/>
      <c r="OKF56" s="245"/>
      <c r="OKG56" s="245"/>
      <c r="OKH56" s="245"/>
      <c r="OKI56" s="245"/>
      <c r="OKJ56" s="245"/>
      <c r="OKK56" s="245"/>
      <c r="OKL56" s="245"/>
      <c r="OKM56" s="245"/>
      <c r="OKN56" s="245"/>
      <c r="OKO56" s="245"/>
      <c r="OKP56" s="245"/>
      <c r="OKQ56" s="245"/>
      <c r="OKR56" s="245"/>
      <c r="OKS56" s="245"/>
      <c r="OKT56" s="245"/>
      <c r="OKU56" s="245"/>
      <c r="OKV56" s="245"/>
      <c r="OKW56" s="245"/>
      <c r="OKX56" s="245"/>
      <c r="OKY56" s="245"/>
      <c r="OKZ56" s="245"/>
      <c r="OLA56" s="245"/>
      <c r="OLB56" s="245"/>
      <c r="OLC56" s="245"/>
      <c r="OLD56" s="245"/>
      <c r="OLE56" s="245"/>
      <c r="OLF56" s="245"/>
      <c r="OLG56" s="245"/>
      <c r="OLH56" s="245"/>
      <c r="OLI56" s="245"/>
      <c r="OLJ56" s="245"/>
      <c r="OLK56" s="245"/>
      <c r="OLL56" s="245"/>
      <c r="OLM56" s="245"/>
      <c r="OLN56" s="245"/>
      <c r="OLO56" s="245"/>
      <c r="OLP56" s="245"/>
      <c r="OLQ56" s="245"/>
      <c r="OLR56" s="245"/>
      <c r="OLS56" s="245"/>
      <c r="OLT56" s="245"/>
      <c r="OLU56" s="245"/>
      <c r="OLV56" s="245"/>
      <c r="OLW56" s="245"/>
      <c r="OLX56" s="245"/>
      <c r="OLY56" s="245"/>
      <c r="OLZ56" s="245"/>
      <c r="OMA56" s="245"/>
      <c r="OMB56" s="245"/>
      <c r="OMC56" s="245"/>
      <c r="OMD56" s="245"/>
      <c r="OME56" s="245"/>
      <c r="OMF56" s="245"/>
      <c r="OMG56" s="245"/>
      <c r="OMH56" s="245"/>
      <c r="OMI56" s="245"/>
      <c r="OMJ56" s="245"/>
      <c r="OMK56" s="245"/>
      <c r="OML56" s="245"/>
      <c r="OMM56" s="245"/>
      <c r="OMN56" s="245"/>
      <c r="OMO56" s="245"/>
      <c r="OMP56" s="245"/>
      <c r="OMQ56" s="245"/>
      <c r="OMR56" s="245"/>
      <c r="OMS56" s="245"/>
      <c r="OMT56" s="245"/>
      <c r="OMU56" s="245"/>
      <c r="OMV56" s="245"/>
      <c r="OMW56" s="245"/>
      <c r="OMX56" s="245"/>
      <c r="OMY56" s="245"/>
      <c r="OMZ56" s="245"/>
      <c r="ONA56" s="245"/>
      <c r="ONB56" s="245"/>
      <c r="ONC56" s="245"/>
      <c r="OND56" s="245"/>
      <c r="ONE56" s="245"/>
      <c r="ONF56" s="245"/>
      <c r="ONG56" s="245"/>
      <c r="ONH56" s="245"/>
      <c r="ONI56" s="245"/>
      <c r="ONJ56" s="245"/>
      <c r="ONK56" s="245"/>
      <c r="ONL56" s="245"/>
      <c r="ONM56" s="245"/>
      <c r="ONN56" s="245"/>
      <c r="ONO56" s="245"/>
      <c r="ONP56" s="245"/>
      <c r="ONQ56" s="245"/>
      <c r="ONR56" s="245"/>
      <c r="ONS56" s="245"/>
      <c r="ONT56" s="245"/>
      <c r="ONU56" s="245"/>
      <c r="ONV56" s="245"/>
      <c r="ONW56" s="245"/>
      <c r="ONX56" s="245"/>
      <c r="ONY56" s="245"/>
      <c r="ONZ56" s="245"/>
      <c r="OOA56" s="245"/>
      <c r="OOB56" s="245"/>
      <c r="OOC56" s="245"/>
      <c r="OOD56" s="245"/>
      <c r="OOE56" s="245"/>
      <c r="OOF56" s="245"/>
      <c r="OOG56" s="245"/>
      <c r="OOH56" s="245"/>
      <c r="OOI56" s="245"/>
      <c r="OOJ56" s="245"/>
      <c r="OOK56" s="245"/>
      <c r="OOL56" s="245"/>
      <c r="OOM56" s="245"/>
      <c r="OON56" s="245"/>
      <c r="OOO56" s="245"/>
      <c r="OOP56" s="245"/>
      <c r="OOQ56" s="245"/>
      <c r="OOR56" s="245"/>
      <c r="OOS56" s="245"/>
      <c r="OOT56" s="245"/>
      <c r="OOU56" s="245"/>
      <c r="OOV56" s="245"/>
      <c r="OOW56" s="245"/>
      <c r="OOX56" s="245"/>
      <c r="OOY56" s="245"/>
      <c r="OOZ56" s="245"/>
      <c r="OPA56" s="245"/>
      <c r="OPB56" s="245"/>
      <c r="OPC56" s="245"/>
      <c r="OPD56" s="245"/>
      <c r="OPE56" s="245"/>
      <c r="OPF56" s="245"/>
      <c r="OPG56" s="245"/>
      <c r="OPH56" s="245"/>
      <c r="OPI56" s="245"/>
      <c r="OPJ56" s="245"/>
      <c r="OPK56" s="245"/>
      <c r="OPL56" s="245"/>
      <c r="OPM56" s="245"/>
      <c r="OPN56" s="245"/>
      <c r="OPO56" s="245"/>
      <c r="OPP56" s="245"/>
      <c r="OPQ56" s="245"/>
      <c r="OPR56" s="245"/>
      <c r="OPS56" s="245"/>
      <c r="OPT56" s="245"/>
      <c r="OPU56" s="245"/>
      <c r="OPV56" s="245"/>
      <c r="OPW56" s="245"/>
      <c r="OPX56" s="245"/>
      <c r="OPY56" s="245"/>
      <c r="OPZ56" s="245"/>
      <c r="OQA56" s="245"/>
      <c r="OQB56" s="245"/>
      <c r="OQC56" s="245"/>
      <c r="OQD56" s="245"/>
      <c r="OQE56" s="245"/>
      <c r="OQF56" s="245"/>
      <c r="OQG56" s="245"/>
      <c r="OQH56" s="245"/>
      <c r="OQI56" s="245"/>
      <c r="OQJ56" s="245"/>
      <c r="OQK56" s="245"/>
      <c r="OQL56" s="245"/>
      <c r="OQM56" s="245"/>
      <c r="OQN56" s="245"/>
      <c r="OQO56" s="245"/>
      <c r="OQP56" s="245"/>
      <c r="OQQ56" s="245"/>
      <c r="OQR56" s="245"/>
      <c r="OQS56" s="245"/>
      <c r="OQT56" s="245"/>
      <c r="OQU56" s="245"/>
      <c r="OQV56" s="245"/>
      <c r="OQW56" s="245"/>
      <c r="OQX56" s="245"/>
      <c r="OQY56" s="245"/>
      <c r="OQZ56" s="245"/>
      <c r="ORA56" s="245"/>
      <c r="ORB56" s="245"/>
      <c r="ORC56" s="245"/>
      <c r="ORD56" s="245"/>
      <c r="ORE56" s="245"/>
      <c r="ORF56" s="245"/>
      <c r="ORG56" s="245"/>
      <c r="ORH56" s="245"/>
      <c r="ORI56" s="245"/>
      <c r="ORJ56" s="245"/>
      <c r="ORK56" s="245"/>
      <c r="ORL56" s="245"/>
      <c r="ORM56" s="245"/>
      <c r="ORN56" s="245"/>
      <c r="ORO56" s="245"/>
      <c r="ORP56" s="245"/>
      <c r="ORQ56" s="245"/>
      <c r="ORR56" s="245"/>
      <c r="ORS56" s="245"/>
      <c r="ORT56" s="245"/>
      <c r="ORU56" s="245"/>
      <c r="ORV56" s="245"/>
      <c r="ORW56" s="245"/>
      <c r="ORX56" s="245"/>
      <c r="ORY56" s="245"/>
      <c r="ORZ56" s="245"/>
      <c r="OSA56" s="245"/>
      <c r="OSB56" s="245"/>
      <c r="OSC56" s="245"/>
      <c r="OSD56" s="245"/>
      <c r="OSE56" s="245"/>
      <c r="OSF56" s="245"/>
      <c r="OSG56" s="245"/>
      <c r="OSH56" s="245"/>
      <c r="OSI56" s="245"/>
      <c r="OSJ56" s="245"/>
      <c r="OSK56" s="245"/>
      <c r="OSL56" s="245"/>
      <c r="OSM56" s="245"/>
      <c r="OSN56" s="245"/>
      <c r="OSO56" s="245"/>
      <c r="OSP56" s="245"/>
      <c r="OSQ56" s="245"/>
      <c r="OSR56" s="245"/>
      <c r="OSS56" s="245"/>
      <c r="OST56" s="245"/>
      <c r="OSU56" s="245"/>
      <c r="OSV56" s="245"/>
      <c r="OSW56" s="245"/>
      <c r="OSX56" s="245"/>
      <c r="OSY56" s="245"/>
      <c r="OSZ56" s="245"/>
      <c r="OTA56" s="245"/>
      <c r="OTB56" s="245"/>
      <c r="OTC56" s="245"/>
      <c r="OTD56" s="245"/>
      <c r="OTE56" s="245"/>
      <c r="OTF56" s="245"/>
      <c r="OTG56" s="245"/>
      <c r="OTH56" s="245"/>
      <c r="OTI56" s="245"/>
      <c r="OTJ56" s="245"/>
      <c r="OTK56" s="245"/>
      <c r="OTL56" s="245"/>
      <c r="OTM56" s="245"/>
      <c r="OTN56" s="245"/>
      <c r="OTO56" s="245"/>
      <c r="OTP56" s="245"/>
      <c r="OTQ56" s="245"/>
      <c r="OTR56" s="245"/>
      <c r="OTS56" s="245"/>
      <c r="OTT56" s="245"/>
      <c r="OTU56" s="245"/>
      <c r="OTV56" s="245"/>
      <c r="OTW56" s="245"/>
      <c r="OTX56" s="245"/>
      <c r="OTY56" s="245"/>
      <c r="OTZ56" s="245"/>
      <c r="OUA56" s="245"/>
      <c r="OUB56" s="245"/>
      <c r="OUC56" s="245"/>
      <c r="OUD56" s="245"/>
      <c r="OUE56" s="245"/>
      <c r="OUF56" s="245"/>
      <c r="OUG56" s="245"/>
      <c r="OUH56" s="245"/>
      <c r="OUI56" s="245"/>
      <c r="OUJ56" s="245"/>
      <c r="OUK56" s="245"/>
      <c r="OUL56" s="245"/>
      <c r="OUM56" s="245"/>
      <c r="OUN56" s="245"/>
      <c r="OUO56" s="245"/>
      <c r="OUP56" s="245"/>
      <c r="OUQ56" s="245"/>
      <c r="OUR56" s="245"/>
      <c r="OUS56" s="245"/>
      <c r="OUT56" s="245"/>
      <c r="OUU56" s="245"/>
      <c r="OUV56" s="245"/>
      <c r="OUW56" s="245"/>
      <c r="OUX56" s="245"/>
      <c r="OUY56" s="245"/>
      <c r="OUZ56" s="245"/>
      <c r="OVA56" s="245"/>
      <c r="OVB56" s="245"/>
      <c r="OVC56" s="245"/>
      <c r="OVD56" s="245"/>
      <c r="OVE56" s="245"/>
      <c r="OVF56" s="245"/>
      <c r="OVG56" s="245"/>
      <c r="OVH56" s="245"/>
      <c r="OVI56" s="245"/>
      <c r="OVJ56" s="245"/>
      <c r="OVK56" s="245"/>
      <c r="OVL56" s="245"/>
      <c r="OVM56" s="245"/>
      <c r="OVN56" s="245"/>
      <c r="OVO56" s="245"/>
      <c r="OVP56" s="245"/>
      <c r="OVQ56" s="245"/>
      <c r="OVR56" s="245"/>
      <c r="OVS56" s="245"/>
      <c r="OVT56" s="245"/>
      <c r="OVU56" s="245"/>
      <c r="OVV56" s="245"/>
      <c r="OVW56" s="245"/>
      <c r="OVX56" s="245"/>
      <c r="OVY56" s="245"/>
      <c r="OVZ56" s="245"/>
      <c r="OWA56" s="245"/>
      <c r="OWB56" s="245"/>
      <c r="OWC56" s="245"/>
      <c r="OWD56" s="245"/>
      <c r="OWE56" s="245"/>
      <c r="OWF56" s="245"/>
      <c r="OWG56" s="245"/>
      <c r="OWH56" s="245"/>
      <c r="OWI56" s="245"/>
      <c r="OWJ56" s="245"/>
      <c r="OWK56" s="245"/>
      <c r="OWL56" s="245"/>
      <c r="OWM56" s="245"/>
      <c r="OWN56" s="245"/>
      <c r="OWO56" s="245"/>
      <c r="OWP56" s="245"/>
      <c r="OWQ56" s="245"/>
      <c r="OWR56" s="245"/>
      <c r="OWS56" s="245"/>
      <c r="OWT56" s="245"/>
      <c r="OWU56" s="245"/>
      <c r="OWV56" s="245"/>
      <c r="OWW56" s="245"/>
      <c r="OWX56" s="245"/>
      <c r="OWY56" s="245"/>
      <c r="OWZ56" s="245"/>
      <c r="OXA56" s="245"/>
      <c r="OXB56" s="245"/>
      <c r="OXC56" s="245"/>
      <c r="OXD56" s="245"/>
      <c r="OXE56" s="245"/>
      <c r="OXF56" s="245"/>
      <c r="OXG56" s="245"/>
      <c r="OXH56" s="245"/>
      <c r="OXI56" s="245"/>
      <c r="OXJ56" s="245"/>
      <c r="OXK56" s="245"/>
      <c r="OXL56" s="245"/>
      <c r="OXM56" s="245"/>
      <c r="OXN56" s="245"/>
      <c r="OXO56" s="245"/>
      <c r="OXP56" s="245"/>
      <c r="OXQ56" s="245"/>
      <c r="OXR56" s="245"/>
      <c r="OXS56" s="245"/>
      <c r="OXT56" s="245"/>
      <c r="OXU56" s="245"/>
      <c r="OXV56" s="245"/>
      <c r="OXW56" s="245"/>
      <c r="OXX56" s="245"/>
      <c r="OXY56" s="245"/>
      <c r="OXZ56" s="245"/>
      <c r="OYA56" s="245"/>
      <c r="OYB56" s="245"/>
      <c r="OYC56" s="245"/>
      <c r="OYD56" s="245"/>
      <c r="OYE56" s="245"/>
      <c r="OYF56" s="245"/>
      <c r="OYG56" s="245"/>
      <c r="OYH56" s="245"/>
      <c r="OYI56" s="245"/>
      <c r="OYJ56" s="245"/>
      <c r="OYK56" s="245"/>
      <c r="OYL56" s="245"/>
      <c r="OYM56" s="245"/>
      <c r="OYN56" s="245"/>
      <c r="OYO56" s="245"/>
      <c r="OYP56" s="245"/>
      <c r="OYQ56" s="245"/>
      <c r="OYR56" s="245"/>
      <c r="OYS56" s="245"/>
      <c r="OYT56" s="245"/>
      <c r="OYU56" s="245"/>
      <c r="OYV56" s="245"/>
      <c r="OYW56" s="245"/>
      <c r="OYX56" s="245"/>
      <c r="OYY56" s="245"/>
      <c r="OYZ56" s="245"/>
      <c r="OZA56" s="245"/>
      <c r="OZB56" s="245"/>
      <c r="OZC56" s="245"/>
      <c r="OZD56" s="245"/>
      <c r="OZE56" s="245"/>
      <c r="OZF56" s="245"/>
      <c r="OZG56" s="245"/>
      <c r="OZH56" s="245"/>
      <c r="OZI56" s="245"/>
      <c r="OZJ56" s="245"/>
      <c r="OZK56" s="245"/>
      <c r="OZL56" s="245"/>
      <c r="OZM56" s="245"/>
      <c r="OZN56" s="245"/>
      <c r="OZO56" s="245"/>
      <c r="OZP56" s="245"/>
      <c r="OZQ56" s="245"/>
      <c r="OZR56" s="245"/>
      <c r="OZS56" s="245"/>
      <c r="OZT56" s="245"/>
      <c r="OZU56" s="245"/>
      <c r="OZV56" s="245"/>
      <c r="OZW56" s="245"/>
      <c r="OZX56" s="245"/>
      <c r="OZY56" s="245"/>
      <c r="OZZ56" s="245"/>
      <c r="PAA56" s="245"/>
      <c r="PAB56" s="245"/>
      <c r="PAC56" s="245"/>
      <c r="PAD56" s="245"/>
      <c r="PAE56" s="245"/>
      <c r="PAF56" s="245"/>
      <c r="PAG56" s="245"/>
      <c r="PAH56" s="245"/>
      <c r="PAI56" s="245"/>
      <c r="PAJ56" s="245"/>
      <c r="PAK56" s="245"/>
      <c r="PAL56" s="245"/>
      <c r="PAM56" s="245"/>
      <c r="PAN56" s="245"/>
      <c r="PAO56" s="245"/>
      <c r="PAP56" s="245"/>
      <c r="PAQ56" s="245"/>
      <c r="PAR56" s="245"/>
      <c r="PAS56" s="245"/>
      <c r="PAT56" s="245"/>
      <c r="PAU56" s="245"/>
      <c r="PAV56" s="245"/>
      <c r="PAW56" s="245"/>
      <c r="PAX56" s="245"/>
      <c r="PAY56" s="245"/>
      <c r="PAZ56" s="245"/>
      <c r="PBA56" s="245"/>
      <c r="PBB56" s="245"/>
      <c r="PBC56" s="245"/>
      <c r="PBD56" s="245"/>
      <c r="PBE56" s="245"/>
      <c r="PBF56" s="245"/>
      <c r="PBG56" s="245"/>
      <c r="PBH56" s="245"/>
      <c r="PBI56" s="245"/>
      <c r="PBJ56" s="245"/>
      <c r="PBK56" s="245"/>
      <c r="PBL56" s="245"/>
      <c r="PBM56" s="245"/>
      <c r="PBN56" s="245"/>
      <c r="PBO56" s="245"/>
      <c r="PBP56" s="245"/>
      <c r="PBQ56" s="245"/>
      <c r="PBR56" s="245"/>
      <c r="PBS56" s="245"/>
      <c r="PBT56" s="245"/>
      <c r="PBU56" s="245"/>
      <c r="PBV56" s="245"/>
      <c r="PBW56" s="245"/>
      <c r="PBX56" s="245"/>
      <c r="PBY56" s="245"/>
      <c r="PBZ56" s="245"/>
      <c r="PCA56" s="245"/>
      <c r="PCB56" s="245"/>
      <c r="PCC56" s="245"/>
      <c r="PCD56" s="245"/>
      <c r="PCE56" s="245"/>
      <c r="PCF56" s="245"/>
      <c r="PCG56" s="245"/>
      <c r="PCH56" s="245"/>
      <c r="PCI56" s="245"/>
      <c r="PCJ56" s="245"/>
      <c r="PCK56" s="245"/>
      <c r="PCL56" s="245"/>
      <c r="PCM56" s="245"/>
      <c r="PCN56" s="245"/>
      <c r="PCO56" s="245"/>
      <c r="PCP56" s="245"/>
      <c r="PCQ56" s="245"/>
      <c r="PCR56" s="245"/>
      <c r="PCS56" s="245"/>
      <c r="PCT56" s="245"/>
      <c r="PCU56" s="245"/>
      <c r="PCV56" s="245"/>
      <c r="PCW56" s="245"/>
      <c r="PCX56" s="245"/>
      <c r="PCY56" s="245"/>
      <c r="PCZ56" s="245"/>
      <c r="PDA56" s="245"/>
      <c r="PDB56" s="245"/>
      <c r="PDC56" s="245"/>
      <c r="PDD56" s="245"/>
      <c r="PDE56" s="245"/>
      <c r="PDF56" s="245"/>
      <c r="PDG56" s="245"/>
      <c r="PDH56" s="245"/>
      <c r="PDI56" s="245"/>
      <c r="PDJ56" s="245"/>
      <c r="PDK56" s="245"/>
      <c r="PDL56" s="245"/>
      <c r="PDM56" s="245"/>
      <c r="PDN56" s="245"/>
      <c r="PDO56" s="245"/>
      <c r="PDP56" s="245"/>
      <c r="PDQ56" s="245"/>
      <c r="PDR56" s="245"/>
      <c r="PDS56" s="245"/>
      <c r="PDT56" s="245"/>
      <c r="PDU56" s="245"/>
      <c r="PDV56" s="245"/>
      <c r="PDW56" s="245"/>
      <c r="PDX56" s="245"/>
      <c r="PDY56" s="245"/>
      <c r="PDZ56" s="245"/>
      <c r="PEA56" s="245"/>
      <c r="PEB56" s="245"/>
      <c r="PEC56" s="245"/>
      <c r="PED56" s="245"/>
      <c r="PEE56" s="245"/>
      <c r="PEF56" s="245"/>
      <c r="PEG56" s="245"/>
      <c r="PEH56" s="245"/>
      <c r="PEI56" s="245"/>
      <c r="PEJ56" s="245"/>
      <c r="PEK56" s="245"/>
      <c r="PEL56" s="245"/>
      <c r="PEM56" s="245"/>
      <c r="PEN56" s="245"/>
      <c r="PEO56" s="245"/>
      <c r="PEP56" s="245"/>
      <c r="PEQ56" s="245"/>
      <c r="PER56" s="245"/>
      <c r="PES56" s="245"/>
      <c r="PET56" s="245"/>
      <c r="PEU56" s="245"/>
      <c r="PEV56" s="245"/>
      <c r="PEW56" s="245"/>
      <c r="PEX56" s="245"/>
      <c r="PEY56" s="245"/>
      <c r="PEZ56" s="245"/>
      <c r="PFA56" s="245"/>
      <c r="PFB56" s="245"/>
      <c r="PFC56" s="245"/>
      <c r="PFD56" s="245"/>
      <c r="PFE56" s="245"/>
      <c r="PFF56" s="245"/>
      <c r="PFG56" s="245"/>
      <c r="PFH56" s="245"/>
      <c r="PFI56" s="245"/>
      <c r="PFJ56" s="245"/>
      <c r="PFK56" s="245"/>
      <c r="PFL56" s="245"/>
      <c r="PFM56" s="245"/>
      <c r="PFN56" s="245"/>
      <c r="PFO56" s="245"/>
      <c r="PFP56" s="245"/>
      <c r="PFQ56" s="245"/>
      <c r="PFR56" s="245"/>
      <c r="PFS56" s="245"/>
      <c r="PFT56" s="245"/>
      <c r="PFU56" s="245"/>
      <c r="PFV56" s="245"/>
      <c r="PFW56" s="245"/>
      <c r="PFX56" s="245"/>
      <c r="PFY56" s="245"/>
      <c r="PFZ56" s="245"/>
      <c r="PGA56" s="245"/>
      <c r="PGB56" s="245"/>
      <c r="PGC56" s="245"/>
      <c r="PGD56" s="245"/>
      <c r="PGE56" s="245"/>
      <c r="PGF56" s="245"/>
      <c r="PGG56" s="245"/>
      <c r="PGH56" s="245"/>
      <c r="PGI56" s="245"/>
      <c r="PGJ56" s="245"/>
      <c r="PGK56" s="245"/>
      <c r="PGL56" s="245"/>
      <c r="PGM56" s="245"/>
      <c r="PGN56" s="245"/>
      <c r="PGO56" s="245"/>
      <c r="PGP56" s="245"/>
      <c r="PGQ56" s="245"/>
      <c r="PGR56" s="245"/>
      <c r="PGS56" s="245"/>
      <c r="PGT56" s="245"/>
      <c r="PGU56" s="245"/>
      <c r="PGV56" s="245"/>
      <c r="PGW56" s="245"/>
      <c r="PGX56" s="245"/>
      <c r="PGY56" s="245"/>
      <c r="PGZ56" s="245"/>
      <c r="PHA56" s="245"/>
      <c r="PHB56" s="245"/>
      <c r="PHC56" s="245"/>
      <c r="PHD56" s="245"/>
      <c r="PHE56" s="245"/>
      <c r="PHF56" s="245"/>
      <c r="PHG56" s="245"/>
      <c r="PHH56" s="245"/>
      <c r="PHI56" s="245"/>
      <c r="PHJ56" s="245"/>
      <c r="PHK56" s="245"/>
      <c r="PHL56" s="245"/>
      <c r="PHM56" s="245"/>
      <c r="PHN56" s="245"/>
      <c r="PHO56" s="245"/>
      <c r="PHP56" s="245"/>
      <c r="PHQ56" s="245"/>
      <c r="PHR56" s="245"/>
      <c r="PHS56" s="245"/>
      <c r="PHT56" s="245"/>
      <c r="PHU56" s="245"/>
      <c r="PHV56" s="245"/>
      <c r="PHW56" s="245"/>
      <c r="PHX56" s="245"/>
      <c r="PHY56" s="245"/>
      <c r="PHZ56" s="245"/>
      <c r="PIA56" s="245"/>
      <c r="PIB56" s="245"/>
      <c r="PIC56" s="245"/>
      <c r="PID56" s="245"/>
      <c r="PIE56" s="245"/>
      <c r="PIF56" s="245"/>
      <c r="PIG56" s="245"/>
      <c r="PIH56" s="245"/>
      <c r="PII56" s="245"/>
      <c r="PIJ56" s="245"/>
      <c r="PIK56" s="245"/>
      <c r="PIL56" s="245"/>
      <c r="PIM56" s="245"/>
      <c r="PIN56" s="245"/>
      <c r="PIO56" s="245"/>
      <c r="PIP56" s="245"/>
      <c r="PIQ56" s="245"/>
      <c r="PIR56" s="245"/>
      <c r="PIS56" s="245"/>
      <c r="PIT56" s="245"/>
      <c r="PIU56" s="245"/>
      <c r="PIV56" s="245"/>
      <c r="PIW56" s="245"/>
      <c r="PIX56" s="245"/>
      <c r="PIY56" s="245"/>
      <c r="PIZ56" s="245"/>
      <c r="PJA56" s="245"/>
      <c r="PJB56" s="245"/>
      <c r="PJC56" s="245"/>
      <c r="PJD56" s="245"/>
      <c r="PJE56" s="245"/>
      <c r="PJF56" s="245"/>
      <c r="PJG56" s="245"/>
      <c r="PJH56" s="245"/>
      <c r="PJI56" s="245"/>
      <c r="PJJ56" s="245"/>
      <c r="PJK56" s="245"/>
      <c r="PJL56" s="245"/>
      <c r="PJM56" s="245"/>
      <c r="PJN56" s="245"/>
      <c r="PJO56" s="245"/>
      <c r="PJP56" s="245"/>
      <c r="PJQ56" s="245"/>
      <c r="PJR56" s="245"/>
      <c r="PJS56" s="245"/>
      <c r="PJT56" s="245"/>
      <c r="PJU56" s="245"/>
      <c r="PJV56" s="245"/>
      <c r="PJW56" s="245"/>
      <c r="PJX56" s="245"/>
      <c r="PJY56" s="245"/>
      <c r="PJZ56" s="245"/>
      <c r="PKA56" s="245"/>
      <c r="PKB56" s="245"/>
      <c r="PKC56" s="245"/>
      <c r="PKD56" s="245"/>
      <c r="PKE56" s="245"/>
      <c r="PKF56" s="245"/>
      <c r="PKG56" s="245"/>
      <c r="PKH56" s="245"/>
      <c r="PKI56" s="245"/>
      <c r="PKJ56" s="245"/>
      <c r="PKK56" s="245"/>
      <c r="PKL56" s="245"/>
      <c r="PKM56" s="245"/>
      <c r="PKN56" s="245"/>
      <c r="PKO56" s="245"/>
      <c r="PKP56" s="245"/>
      <c r="PKQ56" s="245"/>
      <c r="PKR56" s="245"/>
      <c r="PKS56" s="245"/>
      <c r="PKT56" s="245"/>
      <c r="PKU56" s="245"/>
      <c r="PKV56" s="245"/>
      <c r="PKW56" s="245"/>
      <c r="PKX56" s="245"/>
      <c r="PKY56" s="245"/>
      <c r="PKZ56" s="245"/>
      <c r="PLA56" s="245"/>
      <c r="PLB56" s="245"/>
      <c r="PLC56" s="245"/>
      <c r="PLD56" s="245"/>
      <c r="PLE56" s="245"/>
      <c r="PLF56" s="245"/>
      <c r="PLG56" s="245"/>
      <c r="PLH56" s="245"/>
      <c r="PLI56" s="245"/>
      <c r="PLJ56" s="245"/>
      <c r="PLK56" s="245"/>
      <c r="PLL56" s="245"/>
      <c r="PLM56" s="245"/>
      <c r="PLN56" s="245"/>
      <c r="PLO56" s="245"/>
      <c r="PLP56" s="245"/>
      <c r="PLQ56" s="245"/>
      <c r="PLR56" s="245"/>
      <c r="PLS56" s="245"/>
      <c r="PLT56" s="245"/>
      <c r="PLU56" s="245"/>
      <c r="PLV56" s="245"/>
      <c r="PLW56" s="245"/>
      <c r="PLX56" s="245"/>
      <c r="PLY56" s="245"/>
      <c r="PLZ56" s="245"/>
      <c r="PMA56" s="245"/>
      <c r="PMB56" s="245"/>
      <c r="PMC56" s="245"/>
      <c r="PMD56" s="245"/>
      <c r="PME56" s="245"/>
      <c r="PMF56" s="245"/>
      <c r="PMG56" s="245"/>
      <c r="PMH56" s="245"/>
      <c r="PMI56" s="245"/>
      <c r="PMJ56" s="245"/>
      <c r="PMK56" s="245"/>
      <c r="PML56" s="245"/>
      <c r="PMM56" s="245"/>
      <c r="PMN56" s="245"/>
      <c r="PMO56" s="245"/>
      <c r="PMP56" s="245"/>
      <c r="PMQ56" s="245"/>
      <c r="PMR56" s="245"/>
      <c r="PMS56" s="245"/>
      <c r="PMT56" s="245"/>
      <c r="PMU56" s="245"/>
      <c r="PMV56" s="245"/>
      <c r="PMW56" s="245"/>
      <c r="PMX56" s="245"/>
      <c r="PMY56" s="245"/>
      <c r="PMZ56" s="245"/>
      <c r="PNA56" s="245"/>
      <c r="PNB56" s="245"/>
      <c r="PNC56" s="245"/>
      <c r="PND56" s="245"/>
      <c r="PNE56" s="245"/>
      <c r="PNF56" s="245"/>
      <c r="PNG56" s="245"/>
      <c r="PNH56" s="245"/>
      <c r="PNI56" s="245"/>
      <c r="PNJ56" s="245"/>
      <c r="PNK56" s="245"/>
      <c r="PNL56" s="245"/>
      <c r="PNM56" s="245"/>
      <c r="PNN56" s="245"/>
      <c r="PNO56" s="245"/>
      <c r="PNP56" s="245"/>
      <c r="PNQ56" s="245"/>
      <c r="PNR56" s="245"/>
      <c r="PNS56" s="245"/>
      <c r="PNT56" s="245"/>
      <c r="PNU56" s="245"/>
      <c r="PNV56" s="245"/>
      <c r="PNW56" s="245"/>
      <c r="PNX56" s="245"/>
      <c r="PNY56" s="245"/>
      <c r="PNZ56" s="245"/>
      <c r="POA56" s="245"/>
      <c r="POB56" s="245"/>
      <c r="POC56" s="245"/>
      <c r="POD56" s="245"/>
      <c r="POE56" s="245"/>
      <c r="POF56" s="245"/>
      <c r="POG56" s="245"/>
      <c r="POH56" s="245"/>
      <c r="POI56" s="245"/>
      <c r="POJ56" s="245"/>
      <c r="POK56" s="245"/>
      <c r="POL56" s="245"/>
      <c r="POM56" s="245"/>
      <c r="PON56" s="245"/>
      <c r="POO56" s="245"/>
      <c r="POP56" s="245"/>
      <c r="POQ56" s="245"/>
      <c r="POR56" s="245"/>
      <c r="POS56" s="245"/>
      <c r="POT56" s="245"/>
      <c r="POU56" s="245"/>
      <c r="POV56" s="245"/>
      <c r="POW56" s="245"/>
      <c r="POX56" s="245"/>
      <c r="POY56" s="245"/>
      <c r="POZ56" s="245"/>
      <c r="PPA56" s="245"/>
      <c r="PPB56" s="245"/>
      <c r="PPC56" s="245"/>
      <c r="PPD56" s="245"/>
      <c r="PPE56" s="245"/>
      <c r="PPF56" s="245"/>
      <c r="PPG56" s="245"/>
      <c r="PPH56" s="245"/>
      <c r="PPI56" s="245"/>
      <c r="PPJ56" s="245"/>
      <c r="PPK56" s="245"/>
      <c r="PPL56" s="245"/>
      <c r="PPM56" s="245"/>
      <c r="PPN56" s="245"/>
      <c r="PPO56" s="245"/>
      <c r="PPP56" s="245"/>
      <c r="PPQ56" s="245"/>
      <c r="PPR56" s="245"/>
      <c r="PPS56" s="245"/>
      <c r="PPT56" s="245"/>
      <c r="PPU56" s="245"/>
      <c r="PPV56" s="245"/>
      <c r="PPW56" s="245"/>
      <c r="PPX56" s="245"/>
      <c r="PPY56" s="245"/>
      <c r="PPZ56" s="245"/>
      <c r="PQA56" s="245"/>
      <c r="PQB56" s="245"/>
      <c r="PQC56" s="245"/>
      <c r="PQD56" s="245"/>
      <c r="PQE56" s="245"/>
      <c r="PQF56" s="245"/>
      <c r="PQG56" s="245"/>
      <c r="PQH56" s="245"/>
      <c r="PQI56" s="245"/>
      <c r="PQJ56" s="245"/>
      <c r="PQK56" s="245"/>
      <c r="PQL56" s="245"/>
      <c r="PQM56" s="245"/>
      <c r="PQN56" s="245"/>
      <c r="PQO56" s="245"/>
      <c r="PQP56" s="245"/>
      <c r="PQQ56" s="245"/>
      <c r="PQR56" s="245"/>
      <c r="PQS56" s="245"/>
      <c r="PQT56" s="245"/>
      <c r="PQU56" s="245"/>
      <c r="PQV56" s="245"/>
      <c r="PQW56" s="245"/>
      <c r="PQX56" s="245"/>
      <c r="PQY56" s="245"/>
      <c r="PQZ56" s="245"/>
      <c r="PRA56" s="245"/>
      <c r="PRB56" s="245"/>
      <c r="PRC56" s="245"/>
      <c r="PRD56" s="245"/>
      <c r="PRE56" s="245"/>
      <c r="PRF56" s="245"/>
      <c r="PRG56" s="245"/>
      <c r="PRH56" s="245"/>
      <c r="PRI56" s="245"/>
      <c r="PRJ56" s="245"/>
      <c r="PRK56" s="245"/>
      <c r="PRL56" s="245"/>
      <c r="PRM56" s="245"/>
      <c r="PRN56" s="245"/>
      <c r="PRO56" s="245"/>
      <c r="PRP56" s="245"/>
      <c r="PRQ56" s="245"/>
      <c r="PRR56" s="245"/>
      <c r="PRS56" s="245"/>
      <c r="PRT56" s="245"/>
      <c r="PRU56" s="245"/>
      <c r="PRV56" s="245"/>
      <c r="PRW56" s="245"/>
      <c r="PRX56" s="245"/>
      <c r="PRY56" s="245"/>
      <c r="PRZ56" s="245"/>
      <c r="PSA56" s="245"/>
      <c r="PSB56" s="245"/>
      <c r="PSC56" s="245"/>
      <c r="PSD56" s="245"/>
      <c r="PSE56" s="245"/>
      <c r="PSF56" s="245"/>
      <c r="PSG56" s="245"/>
      <c r="PSH56" s="245"/>
      <c r="PSI56" s="245"/>
      <c r="PSJ56" s="245"/>
      <c r="PSK56" s="245"/>
      <c r="PSL56" s="245"/>
      <c r="PSM56" s="245"/>
      <c r="PSN56" s="245"/>
      <c r="PSO56" s="245"/>
      <c r="PSP56" s="245"/>
      <c r="PSQ56" s="245"/>
      <c r="PSR56" s="245"/>
      <c r="PSS56" s="245"/>
      <c r="PST56" s="245"/>
      <c r="PSU56" s="245"/>
      <c r="PSV56" s="245"/>
      <c r="PSW56" s="245"/>
      <c r="PSX56" s="245"/>
      <c r="PSY56" s="245"/>
      <c r="PSZ56" s="245"/>
      <c r="PTA56" s="245"/>
      <c r="PTB56" s="245"/>
      <c r="PTC56" s="245"/>
      <c r="PTD56" s="245"/>
      <c r="PTE56" s="245"/>
      <c r="PTF56" s="245"/>
      <c r="PTG56" s="245"/>
      <c r="PTH56" s="245"/>
      <c r="PTI56" s="245"/>
      <c r="PTJ56" s="245"/>
      <c r="PTK56" s="245"/>
      <c r="PTL56" s="245"/>
      <c r="PTM56" s="245"/>
      <c r="PTN56" s="245"/>
      <c r="PTO56" s="245"/>
      <c r="PTP56" s="245"/>
      <c r="PTQ56" s="245"/>
      <c r="PTR56" s="245"/>
      <c r="PTS56" s="245"/>
      <c r="PTT56" s="245"/>
      <c r="PTU56" s="245"/>
      <c r="PTV56" s="245"/>
      <c r="PTW56" s="245"/>
      <c r="PTX56" s="245"/>
      <c r="PTY56" s="245"/>
      <c r="PTZ56" s="245"/>
      <c r="PUA56" s="245"/>
      <c r="PUB56" s="245"/>
      <c r="PUC56" s="245"/>
      <c r="PUD56" s="245"/>
      <c r="PUE56" s="245"/>
      <c r="PUF56" s="245"/>
      <c r="PUG56" s="245"/>
      <c r="PUH56" s="245"/>
      <c r="PUI56" s="245"/>
      <c r="PUJ56" s="245"/>
      <c r="PUK56" s="245"/>
      <c r="PUL56" s="245"/>
      <c r="PUM56" s="245"/>
      <c r="PUN56" s="245"/>
      <c r="PUO56" s="245"/>
      <c r="PUP56" s="245"/>
      <c r="PUQ56" s="245"/>
      <c r="PUR56" s="245"/>
      <c r="PUS56" s="245"/>
      <c r="PUT56" s="245"/>
      <c r="PUU56" s="245"/>
      <c r="PUV56" s="245"/>
      <c r="PUW56" s="245"/>
      <c r="PUX56" s="245"/>
      <c r="PUY56" s="245"/>
      <c r="PUZ56" s="245"/>
      <c r="PVA56" s="245"/>
      <c r="PVB56" s="245"/>
      <c r="PVC56" s="245"/>
      <c r="PVD56" s="245"/>
      <c r="PVE56" s="245"/>
      <c r="PVF56" s="245"/>
      <c r="PVG56" s="245"/>
      <c r="PVH56" s="245"/>
      <c r="PVI56" s="245"/>
      <c r="PVJ56" s="245"/>
      <c r="PVK56" s="245"/>
      <c r="PVL56" s="245"/>
      <c r="PVM56" s="245"/>
      <c r="PVN56" s="245"/>
      <c r="PVO56" s="245"/>
      <c r="PVP56" s="245"/>
      <c r="PVQ56" s="245"/>
      <c r="PVR56" s="245"/>
      <c r="PVS56" s="245"/>
      <c r="PVT56" s="245"/>
      <c r="PVU56" s="245"/>
      <c r="PVV56" s="245"/>
      <c r="PVW56" s="245"/>
      <c r="PVX56" s="245"/>
      <c r="PVY56" s="245"/>
      <c r="PVZ56" s="245"/>
      <c r="PWA56" s="245"/>
      <c r="PWB56" s="245"/>
      <c r="PWC56" s="245"/>
      <c r="PWD56" s="245"/>
      <c r="PWE56" s="245"/>
      <c r="PWF56" s="245"/>
      <c r="PWG56" s="245"/>
      <c r="PWH56" s="245"/>
      <c r="PWI56" s="245"/>
      <c r="PWJ56" s="245"/>
      <c r="PWK56" s="245"/>
      <c r="PWL56" s="245"/>
      <c r="PWM56" s="245"/>
      <c r="PWN56" s="245"/>
      <c r="PWO56" s="245"/>
      <c r="PWP56" s="245"/>
      <c r="PWQ56" s="245"/>
      <c r="PWR56" s="245"/>
      <c r="PWS56" s="245"/>
      <c r="PWT56" s="245"/>
      <c r="PWU56" s="245"/>
      <c r="PWV56" s="245"/>
      <c r="PWW56" s="245"/>
      <c r="PWX56" s="245"/>
      <c r="PWY56" s="245"/>
      <c r="PWZ56" s="245"/>
      <c r="PXA56" s="245"/>
      <c r="PXB56" s="245"/>
      <c r="PXC56" s="245"/>
      <c r="PXD56" s="245"/>
      <c r="PXE56" s="245"/>
      <c r="PXF56" s="245"/>
      <c r="PXG56" s="245"/>
      <c r="PXH56" s="245"/>
      <c r="PXI56" s="245"/>
      <c r="PXJ56" s="245"/>
      <c r="PXK56" s="245"/>
      <c r="PXL56" s="245"/>
      <c r="PXM56" s="245"/>
      <c r="PXN56" s="245"/>
      <c r="PXO56" s="245"/>
      <c r="PXP56" s="245"/>
      <c r="PXQ56" s="245"/>
      <c r="PXR56" s="245"/>
      <c r="PXS56" s="245"/>
      <c r="PXT56" s="245"/>
      <c r="PXU56" s="245"/>
      <c r="PXV56" s="245"/>
      <c r="PXW56" s="245"/>
      <c r="PXX56" s="245"/>
      <c r="PXY56" s="245"/>
      <c r="PXZ56" s="245"/>
      <c r="PYA56" s="245"/>
      <c r="PYB56" s="245"/>
      <c r="PYC56" s="245"/>
      <c r="PYD56" s="245"/>
      <c r="PYE56" s="245"/>
      <c r="PYF56" s="245"/>
      <c r="PYG56" s="245"/>
      <c r="PYH56" s="245"/>
      <c r="PYI56" s="245"/>
      <c r="PYJ56" s="245"/>
      <c r="PYK56" s="245"/>
      <c r="PYL56" s="245"/>
      <c r="PYM56" s="245"/>
      <c r="PYN56" s="245"/>
      <c r="PYO56" s="245"/>
      <c r="PYP56" s="245"/>
      <c r="PYQ56" s="245"/>
      <c r="PYR56" s="245"/>
      <c r="PYS56" s="245"/>
      <c r="PYT56" s="245"/>
      <c r="PYU56" s="245"/>
      <c r="PYV56" s="245"/>
      <c r="PYW56" s="245"/>
      <c r="PYX56" s="245"/>
      <c r="PYY56" s="245"/>
      <c r="PYZ56" s="245"/>
      <c r="PZA56" s="245"/>
      <c r="PZB56" s="245"/>
      <c r="PZC56" s="245"/>
      <c r="PZD56" s="245"/>
      <c r="PZE56" s="245"/>
      <c r="PZF56" s="245"/>
      <c r="PZG56" s="245"/>
      <c r="PZH56" s="245"/>
      <c r="PZI56" s="245"/>
      <c r="PZJ56" s="245"/>
      <c r="PZK56" s="245"/>
      <c r="PZL56" s="245"/>
      <c r="PZM56" s="245"/>
      <c r="PZN56" s="245"/>
      <c r="PZO56" s="245"/>
      <c r="PZP56" s="245"/>
      <c r="PZQ56" s="245"/>
      <c r="PZR56" s="245"/>
      <c r="PZS56" s="245"/>
      <c r="PZT56" s="245"/>
      <c r="PZU56" s="245"/>
      <c r="PZV56" s="245"/>
      <c r="PZW56" s="245"/>
      <c r="PZX56" s="245"/>
      <c r="PZY56" s="245"/>
      <c r="PZZ56" s="245"/>
      <c r="QAA56" s="245"/>
      <c r="QAB56" s="245"/>
      <c r="QAC56" s="245"/>
      <c r="QAD56" s="245"/>
      <c r="QAE56" s="245"/>
      <c r="QAF56" s="245"/>
      <c r="QAG56" s="245"/>
      <c r="QAH56" s="245"/>
      <c r="QAI56" s="245"/>
      <c r="QAJ56" s="245"/>
      <c r="QAK56" s="245"/>
      <c r="QAL56" s="245"/>
      <c r="QAM56" s="245"/>
      <c r="QAN56" s="245"/>
      <c r="QAO56" s="245"/>
      <c r="QAP56" s="245"/>
      <c r="QAQ56" s="245"/>
      <c r="QAR56" s="245"/>
      <c r="QAS56" s="245"/>
      <c r="QAT56" s="245"/>
      <c r="QAU56" s="245"/>
      <c r="QAV56" s="245"/>
      <c r="QAW56" s="245"/>
      <c r="QAX56" s="245"/>
      <c r="QAY56" s="245"/>
      <c r="QAZ56" s="245"/>
      <c r="QBA56" s="245"/>
      <c r="QBB56" s="245"/>
      <c r="QBC56" s="245"/>
      <c r="QBD56" s="245"/>
      <c r="QBE56" s="245"/>
      <c r="QBF56" s="245"/>
      <c r="QBG56" s="245"/>
      <c r="QBH56" s="245"/>
      <c r="QBI56" s="245"/>
      <c r="QBJ56" s="245"/>
      <c r="QBK56" s="245"/>
      <c r="QBL56" s="245"/>
      <c r="QBM56" s="245"/>
      <c r="QBN56" s="245"/>
      <c r="QBO56" s="245"/>
      <c r="QBP56" s="245"/>
      <c r="QBQ56" s="245"/>
      <c r="QBR56" s="245"/>
      <c r="QBS56" s="245"/>
      <c r="QBT56" s="245"/>
      <c r="QBU56" s="245"/>
      <c r="QBV56" s="245"/>
      <c r="QBW56" s="245"/>
      <c r="QBX56" s="245"/>
      <c r="QBY56" s="245"/>
      <c r="QBZ56" s="245"/>
      <c r="QCA56" s="245"/>
      <c r="QCB56" s="245"/>
      <c r="QCC56" s="245"/>
      <c r="QCD56" s="245"/>
      <c r="QCE56" s="245"/>
      <c r="QCF56" s="245"/>
      <c r="QCG56" s="245"/>
      <c r="QCH56" s="245"/>
      <c r="QCI56" s="245"/>
      <c r="QCJ56" s="245"/>
      <c r="QCK56" s="245"/>
      <c r="QCL56" s="245"/>
      <c r="QCM56" s="245"/>
      <c r="QCN56" s="245"/>
      <c r="QCO56" s="245"/>
      <c r="QCP56" s="245"/>
      <c r="QCQ56" s="245"/>
      <c r="QCR56" s="245"/>
      <c r="QCS56" s="245"/>
      <c r="QCT56" s="245"/>
      <c r="QCU56" s="245"/>
      <c r="QCV56" s="245"/>
      <c r="QCW56" s="245"/>
      <c r="QCX56" s="245"/>
      <c r="QCY56" s="245"/>
      <c r="QCZ56" s="245"/>
      <c r="QDA56" s="245"/>
      <c r="QDB56" s="245"/>
      <c r="QDC56" s="245"/>
      <c r="QDD56" s="245"/>
      <c r="QDE56" s="245"/>
      <c r="QDF56" s="245"/>
      <c r="QDG56" s="245"/>
      <c r="QDH56" s="245"/>
      <c r="QDI56" s="245"/>
      <c r="QDJ56" s="245"/>
      <c r="QDK56" s="245"/>
      <c r="QDL56" s="245"/>
      <c r="QDM56" s="245"/>
      <c r="QDN56" s="245"/>
      <c r="QDO56" s="245"/>
      <c r="QDP56" s="245"/>
      <c r="QDQ56" s="245"/>
      <c r="QDR56" s="245"/>
      <c r="QDS56" s="245"/>
      <c r="QDT56" s="245"/>
      <c r="QDU56" s="245"/>
      <c r="QDV56" s="245"/>
      <c r="QDW56" s="245"/>
      <c r="QDX56" s="245"/>
      <c r="QDY56" s="245"/>
      <c r="QDZ56" s="245"/>
      <c r="QEA56" s="245"/>
      <c r="QEB56" s="245"/>
      <c r="QEC56" s="245"/>
      <c r="QED56" s="245"/>
      <c r="QEE56" s="245"/>
      <c r="QEF56" s="245"/>
      <c r="QEG56" s="245"/>
      <c r="QEH56" s="245"/>
      <c r="QEI56" s="245"/>
      <c r="QEJ56" s="245"/>
      <c r="QEK56" s="245"/>
      <c r="QEL56" s="245"/>
      <c r="QEM56" s="245"/>
      <c r="QEN56" s="245"/>
      <c r="QEO56" s="245"/>
      <c r="QEP56" s="245"/>
      <c r="QEQ56" s="245"/>
      <c r="QER56" s="245"/>
      <c r="QES56" s="245"/>
      <c r="QET56" s="245"/>
      <c r="QEU56" s="245"/>
      <c r="QEV56" s="245"/>
      <c r="QEW56" s="245"/>
      <c r="QEX56" s="245"/>
      <c r="QEY56" s="245"/>
      <c r="QEZ56" s="245"/>
      <c r="QFA56" s="245"/>
      <c r="QFB56" s="245"/>
      <c r="QFC56" s="245"/>
      <c r="QFD56" s="245"/>
      <c r="QFE56" s="245"/>
      <c r="QFF56" s="245"/>
      <c r="QFG56" s="245"/>
      <c r="QFH56" s="245"/>
      <c r="QFI56" s="245"/>
      <c r="QFJ56" s="245"/>
      <c r="QFK56" s="245"/>
      <c r="QFL56" s="245"/>
      <c r="QFM56" s="245"/>
      <c r="QFN56" s="245"/>
      <c r="QFO56" s="245"/>
      <c r="QFP56" s="245"/>
      <c r="QFQ56" s="245"/>
      <c r="QFR56" s="245"/>
      <c r="QFS56" s="245"/>
      <c r="QFT56" s="245"/>
      <c r="QFU56" s="245"/>
      <c r="QFV56" s="245"/>
      <c r="QFW56" s="245"/>
      <c r="QFX56" s="245"/>
      <c r="QFY56" s="245"/>
      <c r="QFZ56" s="245"/>
      <c r="QGA56" s="245"/>
      <c r="QGB56" s="245"/>
      <c r="QGC56" s="245"/>
      <c r="QGD56" s="245"/>
      <c r="QGE56" s="245"/>
      <c r="QGF56" s="245"/>
      <c r="QGG56" s="245"/>
      <c r="QGH56" s="245"/>
      <c r="QGI56" s="245"/>
      <c r="QGJ56" s="245"/>
      <c r="QGK56" s="245"/>
      <c r="QGL56" s="245"/>
      <c r="QGM56" s="245"/>
      <c r="QGN56" s="245"/>
      <c r="QGO56" s="245"/>
      <c r="QGP56" s="245"/>
      <c r="QGQ56" s="245"/>
      <c r="QGR56" s="245"/>
      <c r="QGS56" s="245"/>
      <c r="QGT56" s="245"/>
      <c r="QGU56" s="245"/>
      <c r="QGV56" s="245"/>
      <c r="QGW56" s="245"/>
      <c r="QGX56" s="245"/>
      <c r="QGY56" s="245"/>
      <c r="QGZ56" s="245"/>
      <c r="QHA56" s="245"/>
      <c r="QHB56" s="245"/>
      <c r="QHC56" s="245"/>
      <c r="QHD56" s="245"/>
      <c r="QHE56" s="245"/>
      <c r="QHF56" s="245"/>
      <c r="QHG56" s="245"/>
      <c r="QHH56" s="245"/>
      <c r="QHI56" s="245"/>
      <c r="QHJ56" s="245"/>
      <c r="QHK56" s="245"/>
      <c r="QHL56" s="245"/>
      <c r="QHM56" s="245"/>
      <c r="QHN56" s="245"/>
      <c r="QHO56" s="245"/>
      <c r="QHP56" s="245"/>
      <c r="QHQ56" s="245"/>
      <c r="QHR56" s="245"/>
      <c r="QHS56" s="245"/>
      <c r="QHT56" s="245"/>
      <c r="QHU56" s="245"/>
      <c r="QHV56" s="245"/>
      <c r="QHW56" s="245"/>
      <c r="QHX56" s="245"/>
      <c r="QHY56" s="245"/>
      <c r="QHZ56" s="245"/>
      <c r="QIA56" s="245"/>
      <c r="QIB56" s="245"/>
      <c r="QIC56" s="245"/>
      <c r="QID56" s="245"/>
      <c r="QIE56" s="245"/>
      <c r="QIF56" s="245"/>
      <c r="QIG56" s="245"/>
      <c r="QIH56" s="245"/>
      <c r="QII56" s="245"/>
      <c r="QIJ56" s="245"/>
      <c r="QIK56" s="245"/>
      <c r="QIL56" s="245"/>
      <c r="QIM56" s="245"/>
      <c r="QIN56" s="245"/>
      <c r="QIO56" s="245"/>
      <c r="QIP56" s="245"/>
      <c r="QIQ56" s="245"/>
      <c r="QIR56" s="245"/>
      <c r="QIS56" s="245"/>
      <c r="QIT56" s="245"/>
      <c r="QIU56" s="245"/>
      <c r="QIV56" s="245"/>
      <c r="QIW56" s="245"/>
      <c r="QIX56" s="245"/>
      <c r="QIY56" s="245"/>
      <c r="QIZ56" s="245"/>
      <c r="QJA56" s="245"/>
      <c r="QJB56" s="245"/>
      <c r="QJC56" s="245"/>
      <c r="QJD56" s="245"/>
      <c r="QJE56" s="245"/>
      <c r="QJF56" s="245"/>
      <c r="QJG56" s="245"/>
      <c r="QJH56" s="245"/>
      <c r="QJI56" s="245"/>
      <c r="QJJ56" s="245"/>
      <c r="QJK56" s="245"/>
      <c r="QJL56" s="245"/>
      <c r="QJM56" s="245"/>
      <c r="QJN56" s="245"/>
      <c r="QJO56" s="245"/>
      <c r="QJP56" s="245"/>
      <c r="QJQ56" s="245"/>
      <c r="QJR56" s="245"/>
      <c r="QJS56" s="245"/>
      <c r="QJT56" s="245"/>
      <c r="QJU56" s="245"/>
      <c r="QJV56" s="245"/>
      <c r="QJW56" s="245"/>
      <c r="QJX56" s="245"/>
      <c r="QJY56" s="245"/>
      <c r="QJZ56" s="245"/>
      <c r="QKA56" s="245"/>
      <c r="QKB56" s="245"/>
      <c r="QKC56" s="245"/>
      <c r="QKD56" s="245"/>
      <c r="QKE56" s="245"/>
      <c r="QKF56" s="245"/>
      <c r="QKG56" s="245"/>
      <c r="QKH56" s="245"/>
      <c r="QKI56" s="245"/>
      <c r="QKJ56" s="245"/>
      <c r="QKK56" s="245"/>
      <c r="QKL56" s="245"/>
      <c r="QKM56" s="245"/>
      <c r="QKN56" s="245"/>
      <c r="QKO56" s="245"/>
      <c r="QKP56" s="245"/>
      <c r="QKQ56" s="245"/>
      <c r="QKR56" s="245"/>
      <c r="QKS56" s="245"/>
      <c r="QKT56" s="245"/>
      <c r="QKU56" s="245"/>
      <c r="QKV56" s="245"/>
      <c r="QKW56" s="245"/>
      <c r="QKX56" s="245"/>
      <c r="QKY56" s="245"/>
      <c r="QKZ56" s="245"/>
      <c r="QLA56" s="245"/>
      <c r="QLB56" s="245"/>
      <c r="QLC56" s="245"/>
      <c r="QLD56" s="245"/>
      <c r="QLE56" s="245"/>
      <c r="QLF56" s="245"/>
      <c r="QLG56" s="245"/>
      <c r="QLH56" s="245"/>
      <c r="QLI56" s="245"/>
      <c r="QLJ56" s="245"/>
      <c r="QLK56" s="245"/>
      <c r="QLL56" s="245"/>
      <c r="QLM56" s="245"/>
      <c r="QLN56" s="245"/>
      <c r="QLO56" s="245"/>
      <c r="QLP56" s="245"/>
      <c r="QLQ56" s="245"/>
      <c r="QLR56" s="245"/>
      <c r="QLS56" s="245"/>
      <c r="QLT56" s="245"/>
      <c r="QLU56" s="245"/>
      <c r="QLV56" s="245"/>
      <c r="QLW56" s="245"/>
      <c r="QLX56" s="245"/>
      <c r="QLY56" s="245"/>
      <c r="QLZ56" s="245"/>
      <c r="QMA56" s="245"/>
      <c r="QMB56" s="245"/>
      <c r="QMC56" s="245"/>
      <c r="QMD56" s="245"/>
      <c r="QME56" s="245"/>
      <c r="QMF56" s="245"/>
      <c r="QMG56" s="245"/>
      <c r="QMH56" s="245"/>
      <c r="QMI56" s="245"/>
      <c r="QMJ56" s="245"/>
      <c r="QMK56" s="245"/>
      <c r="QML56" s="245"/>
      <c r="QMM56" s="245"/>
      <c r="QMN56" s="245"/>
      <c r="QMO56" s="245"/>
      <c r="QMP56" s="245"/>
      <c r="QMQ56" s="245"/>
      <c r="QMR56" s="245"/>
      <c r="QMS56" s="245"/>
      <c r="QMT56" s="245"/>
      <c r="QMU56" s="245"/>
      <c r="QMV56" s="245"/>
      <c r="QMW56" s="245"/>
      <c r="QMX56" s="245"/>
      <c r="QMY56" s="245"/>
      <c r="QMZ56" s="245"/>
      <c r="QNA56" s="245"/>
      <c r="QNB56" s="245"/>
      <c r="QNC56" s="245"/>
      <c r="QND56" s="245"/>
      <c r="QNE56" s="245"/>
      <c r="QNF56" s="245"/>
      <c r="QNG56" s="245"/>
      <c r="QNH56" s="245"/>
      <c r="QNI56" s="245"/>
      <c r="QNJ56" s="245"/>
      <c r="QNK56" s="245"/>
      <c r="QNL56" s="245"/>
      <c r="QNM56" s="245"/>
      <c r="QNN56" s="245"/>
      <c r="QNO56" s="245"/>
      <c r="QNP56" s="245"/>
      <c r="QNQ56" s="245"/>
      <c r="QNR56" s="245"/>
      <c r="QNS56" s="245"/>
      <c r="QNT56" s="245"/>
      <c r="QNU56" s="245"/>
      <c r="QNV56" s="245"/>
      <c r="QNW56" s="245"/>
      <c r="QNX56" s="245"/>
      <c r="QNY56" s="245"/>
      <c r="QNZ56" s="245"/>
      <c r="QOA56" s="245"/>
      <c r="QOB56" s="245"/>
      <c r="QOC56" s="245"/>
      <c r="QOD56" s="245"/>
      <c r="QOE56" s="245"/>
      <c r="QOF56" s="245"/>
      <c r="QOG56" s="245"/>
      <c r="QOH56" s="245"/>
      <c r="QOI56" s="245"/>
      <c r="QOJ56" s="245"/>
      <c r="QOK56" s="245"/>
      <c r="QOL56" s="245"/>
      <c r="QOM56" s="245"/>
      <c r="QON56" s="245"/>
      <c r="QOO56" s="245"/>
      <c r="QOP56" s="245"/>
      <c r="QOQ56" s="245"/>
      <c r="QOR56" s="245"/>
      <c r="QOS56" s="245"/>
      <c r="QOT56" s="245"/>
      <c r="QOU56" s="245"/>
      <c r="QOV56" s="245"/>
      <c r="QOW56" s="245"/>
      <c r="QOX56" s="245"/>
      <c r="QOY56" s="245"/>
      <c r="QOZ56" s="245"/>
      <c r="QPA56" s="245"/>
      <c r="QPB56" s="245"/>
      <c r="QPC56" s="245"/>
      <c r="QPD56" s="245"/>
      <c r="QPE56" s="245"/>
      <c r="QPF56" s="245"/>
      <c r="QPG56" s="245"/>
      <c r="QPH56" s="245"/>
      <c r="QPI56" s="245"/>
      <c r="QPJ56" s="245"/>
      <c r="QPK56" s="245"/>
      <c r="QPL56" s="245"/>
      <c r="QPM56" s="245"/>
      <c r="QPN56" s="245"/>
      <c r="QPO56" s="245"/>
      <c r="QPP56" s="245"/>
      <c r="QPQ56" s="245"/>
      <c r="QPR56" s="245"/>
      <c r="QPS56" s="245"/>
      <c r="QPT56" s="245"/>
      <c r="QPU56" s="245"/>
      <c r="QPV56" s="245"/>
      <c r="QPW56" s="245"/>
      <c r="QPX56" s="245"/>
      <c r="QPY56" s="245"/>
      <c r="QPZ56" s="245"/>
      <c r="QQA56" s="245"/>
      <c r="QQB56" s="245"/>
      <c r="QQC56" s="245"/>
      <c r="QQD56" s="245"/>
      <c r="QQE56" s="245"/>
      <c r="QQF56" s="245"/>
      <c r="QQG56" s="245"/>
      <c r="QQH56" s="245"/>
      <c r="QQI56" s="245"/>
      <c r="QQJ56" s="245"/>
      <c r="QQK56" s="245"/>
      <c r="QQL56" s="245"/>
      <c r="QQM56" s="245"/>
      <c r="QQN56" s="245"/>
      <c r="QQO56" s="245"/>
      <c r="QQP56" s="245"/>
      <c r="QQQ56" s="245"/>
      <c r="QQR56" s="245"/>
      <c r="QQS56" s="245"/>
      <c r="QQT56" s="245"/>
      <c r="QQU56" s="245"/>
      <c r="QQV56" s="245"/>
      <c r="QQW56" s="245"/>
      <c r="QQX56" s="245"/>
      <c r="QQY56" s="245"/>
      <c r="QQZ56" s="245"/>
      <c r="QRA56" s="245"/>
      <c r="QRB56" s="245"/>
      <c r="QRC56" s="245"/>
      <c r="QRD56" s="245"/>
      <c r="QRE56" s="245"/>
      <c r="QRF56" s="245"/>
      <c r="QRG56" s="245"/>
      <c r="QRH56" s="245"/>
      <c r="QRI56" s="245"/>
      <c r="QRJ56" s="245"/>
      <c r="QRK56" s="245"/>
      <c r="QRL56" s="245"/>
      <c r="QRM56" s="245"/>
      <c r="QRN56" s="245"/>
      <c r="QRO56" s="245"/>
      <c r="QRP56" s="245"/>
      <c r="QRQ56" s="245"/>
      <c r="QRR56" s="245"/>
      <c r="QRS56" s="245"/>
      <c r="QRT56" s="245"/>
      <c r="QRU56" s="245"/>
      <c r="QRV56" s="245"/>
      <c r="QRW56" s="245"/>
      <c r="QRX56" s="245"/>
      <c r="QRY56" s="245"/>
      <c r="QRZ56" s="245"/>
      <c r="QSA56" s="245"/>
      <c r="QSB56" s="245"/>
      <c r="QSC56" s="245"/>
      <c r="QSD56" s="245"/>
      <c r="QSE56" s="245"/>
      <c r="QSF56" s="245"/>
      <c r="QSG56" s="245"/>
      <c r="QSH56" s="245"/>
      <c r="QSI56" s="245"/>
      <c r="QSJ56" s="245"/>
      <c r="QSK56" s="245"/>
      <c r="QSL56" s="245"/>
      <c r="QSM56" s="245"/>
      <c r="QSN56" s="245"/>
      <c r="QSO56" s="245"/>
      <c r="QSP56" s="245"/>
      <c r="QSQ56" s="245"/>
      <c r="QSR56" s="245"/>
      <c r="QSS56" s="245"/>
      <c r="QST56" s="245"/>
      <c r="QSU56" s="245"/>
      <c r="QSV56" s="245"/>
      <c r="QSW56" s="245"/>
      <c r="QSX56" s="245"/>
      <c r="QSY56" s="245"/>
      <c r="QSZ56" s="245"/>
      <c r="QTA56" s="245"/>
      <c r="QTB56" s="245"/>
      <c r="QTC56" s="245"/>
      <c r="QTD56" s="245"/>
      <c r="QTE56" s="245"/>
      <c r="QTF56" s="245"/>
      <c r="QTG56" s="245"/>
      <c r="QTH56" s="245"/>
      <c r="QTI56" s="245"/>
      <c r="QTJ56" s="245"/>
      <c r="QTK56" s="245"/>
      <c r="QTL56" s="245"/>
      <c r="QTM56" s="245"/>
      <c r="QTN56" s="245"/>
      <c r="QTO56" s="245"/>
      <c r="QTP56" s="245"/>
      <c r="QTQ56" s="245"/>
      <c r="QTR56" s="245"/>
      <c r="QTS56" s="245"/>
      <c r="QTT56" s="245"/>
      <c r="QTU56" s="245"/>
      <c r="QTV56" s="245"/>
      <c r="QTW56" s="245"/>
      <c r="QTX56" s="245"/>
      <c r="QTY56" s="245"/>
      <c r="QTZ56" s="245"/>
      <c r="QUA56" s="245"/>
      <c r="QUB56" s="245"/>
      <c r="QUC56" s="245"/>
      <c r="QUD56" s="245"/>
      <c r="QUE56" s="245"/>
      <c r="QUF56" s="245"/>
      <c r="QUG56" s="245"/>
      <c r="QUH56" s="245"/>
      <c r="QUI56" s="245"/>
      <c r="QUJ56" s="245"/>
      <c r="QUK56" s="245"/>
      <c r="QUL56" s="245"/>
      <c r="QUM56" s="245"/>
      <c r="QUN56" s="245"/>
      <c r="QUO56" s="245"/>
      <c r="QUP56" s="245"/>
      <c r="QUQ56" s="245"/>
      <c r="QUR56" s="245"/>
      <c r="QUS56" s="245"/>
      <c r="QUT56" s="245"/>
      <c r="QUU56" s="245"/>
      <c r="QUV56" s="245"/>
      <c r="QUW56" s="245"/>
      <c r="QUX56" s="245"/>
      <c r="QUY56" s="245"/>
      <c r="QUZ56" s="245"/>
      <c r="QVA56" s="245"/>
      <c r="QVB56" s="245"/>
      <c r="QVC56" s="245"/>
      <c r="QVD56" s="245"/>
      <c r="QVE56" s="245"/>
      <c r="QVF56" s="245"/>
      <c r="QVG56" s="245"/>
      <c r="QVH56" s="245"/>
      <c r="QVI56" s="245"/>
      <c r="QVJ56" s="245"/>
      <c r="QVK56" s="245"/>
      <c r="QVL56" s="245"/>
      <c r="QVM56" s="245"/>
      <c r="QVN56" s="245"/>
      <c r="QVO56" s="245"/>
      <c r="QVP56" s="245"/>
      <c r="QVQ56" s="245"/>
      <c r="QVR56" s="245"/>
      <c r="QVS56" s="245"/>
      <c r="QVT56" s="245"/>
      <c r="QVU56" s="245"/>
      <c r="QVV56" s="245"/>
      <c r="QVW56" s="245"/>
      <c r="QVX56" s="245"/>
      <c r="QVY56" s="245"/>
      <c r="QVZ56" s="245"/>
      <c r="QWA56" s="245"/>
      <c r="QWB56" s="245"/>
      <c r="QWC56" s="245"/>
      <c r="QWD56" s="245"/>
      <c r="QWE56" s="245"/>
      <c r="QWF56" s="245"/>
      <c r="QWG56" s="245"/>
      <c r="QWH56" s="245"/>
      <c r="QWI56" s="245"/>
      <c r="QWJ56" s="245"/>
      <c r="QWK56" s="245"/>
      <c r="QWL56" s="245"/>
      <c r="QWM56" s="245"/>
      <c r="QWN56" s="245"/>
      <c r="QWO56" s="245"/>
      <c r="QWP56" s="245"/>
      <c r="QWQ56" s="245"/>
      <c r="QWR56" s="245"/>
      <c r="QWS56" s="245"/>
      <c r="QWT56" s="245"/>
      <c r="QWU56" s="245"/>
      <c r="QWV56" s="245"/>
      <c r="QWW56" s="245"/>
      <c r="QWX56" s="245"/>
      <c r="QWY56" s="245"/>
      <c r="QWZ56" s="245"/>
      <c r="QXA56" s="245"/>
      <c r="QXB56" s="245"/>
      <c r="QXC56" s="245"/>
      <c r="QXD56" s="245"/>
      <c r="QXE56" s="245"/>
      <c r="QXF56" s="245"/>
      <c r="QXG56" s="245"/>
      <c r="QXH56" s="245"/>
      <c r="QXI56" s="245"/>
      <c r="QXJ56" s="245"/>
      <c r="QXK56" s="245"/>
      <c r="QXL56" s="245"/>
      <c r="QXM56" s="245"/>
      <c r="QXN56" s="245"/>
      <c r="QXO56" s="245"/>
      <c r="QXP56" s="245"/>
      <c r="QXQ56" s="245"/>
      <c r="QXR56" s="245"/>
      <c r="QXS56" s="245"/>
      <c r="QXT56" s="245"/>
      <c r="QXU56" s="245"/>
      <c r="QXV56" s="245"/>
      <c r="QXW56" s="245"/>
      <c r="QXX56" s="245"/>
      <c r="QXY56" s="245"/>
      <c r="QXZ56" s="245"/>
      <c r="QYA56" s="245"/>
      <c r="QYB56" s="245"/>
      <c r="QYC56" s="245"/>
      <c r="QYD56" s="245"/>
      <c r="QYE56" s="245"/>
      <c r="QYF56" s="245"/>
      <c r="QYG56" s="245"/>
      <c r="QYH56" s="245"/>
      <c r="QYI56" s="245"/>
      <c r="QYJ56" s="245"/>
      <c r="QYK56" s="245"/>
      <c r="QYL56" s="245"/>
      <c r="QYM56" s="245"/>
      <c r="QYN56" s="245"/>
      <c r="QYO56" s="245"/>
      <c r="QYP56" s="245"/>
      <c r="QYQ56" s="245"/>
      <c r="QYR56" s="245"/>
      <c r="QYS56" s="245"/>
      <c r="QYT56" s="245"/>
      <c r="QYU56" s="245"/>
      <c r="QYV56" s="245"/>
      <c r="QYW56" s="245"/>
      <c r="QYX56" s="245"/>
      <c r="QYY56" s="245"/>
      <c r="QYZ56" s="245"/>
      <c r="QZA56" s="245"/>
      <c r="QZB56" s="245"/>
      <c r="QZC56" s="245"/>
      <c r="QZD56" s="245"/>
      <c r="QZE56" s="245"/>
      <c r="QZF56" s="245"/>
      <c r="QZG56" s="245"/>
      <c r="QZH56" s="245"/>
      <c r="QZI56" s="245"/>
      <c r="QZJ56" s="245"/>
      <c r="QZK56" s="245"/>
      <c r="QZL56" s="245"/>
      <c r="QZM56" s="245"/>
      <c r="QZN56" s="245"/>
      <c r="QZO56" s="245"/>
      <c r="QZP56" s="245"/>
      <c r="QZQ56" s="245"/>
      <c r="QZR56" s="245"/>
      <c r="QZS56" s="245"/>
      <c r="QZT56" s="245"/>
      <c r="QZU56" s="245"/>
      <c r="QZV56" s="245"/>
      <c r="QZW56" s="245"/>
      <c r="QZX56" s="245"/>
      <c r="QZY56" s="245"/>
      <c r="QZZ56" s="245"/>
      <c r="RAA56" s="245"/>
      <c r="RAB56" s="245"/>
      <c r="RAC56" s="245"/>
      <c r="RAD56" s="245"/>
      <c r="RAE56" s="245"/>
      <c r="RAF56" s="245"/>
      <c r="RAG56" s="245"/>
      <c r="RAH56" s="245"/>
      <c r="RAI56" s="245"/>
      <c r="RAJ56" s="245"/>
      <c r="RAK56" s="245"/>
      <c r="RAL56" s="245"/>
      <c r="RAM56" s="245"/>
      <c r="RAN56" s="245"/>
      <c r="RAO56" s="245"/>
      <c r="RAP56" s="245"/>
      <c r="RAQ56" s="245"/>
      <c r="RAR56" s="245"/>
      <c r="RAS56" s="245"/>
      <c r="RAT56" s="245"/>
      <c r="RAU56" s="245"/>
      <c r="RAV56" s="245"/>
      <c r="RAW56" s="245"/>
      <c r="RAX56" s="245"/>
      <c r="RAY56" s="245"/>
      <c r="RAZ56" s="245"/>
      <c r="RBA56" s="245"/>
      <c r="RBB56" s="245"/>
      <c r="RBC56" s="245"/>
      <c r="RBD56" s="245"/>
      <c r="RBE56" s="245"/>
      <c r="RBF56" s="245"/>
      <c r="RBG56" s="245"/>
      <c r="RBH56" s="245"/>
      <c r="RBI56" s="245"/>
      <c r="RBJ56" s="245"/>
      <c r="RBK56" s="245"/>
      <c r="RBL56" s="245"/>
      <c r="RBM56" s="245"/>
      <c r="RBN56" s="245"/>
      <c r="RBO56" s="245"/>
      <c r="RBP56" s="245"/>
      <c r="RBQ56" s="245"/>
      <c r="RBR56" s="245"/>
      <c r="RBS56" s="245"/>
      <c r="RBT56" s="245"/>
      <c r="RBU56" s="245"/>
      <c r="RBV56" s="245"/>
      <c r="RBW56" s="245"/>
      <c r="RBX56" s="245"/>
      <c r="RBY56" s="245"/>
      <c r="RBZ56" s="245"/>
      <c r="RCA56" s="245"/>
      <c r="RCB56" s="245"/>
      <c r="RCC56" s="245"/>
      <c r="RCD56" s="245"/>
      <c r="RCE56" s="245"/>
      <c r="RCF56" s="245"/>
      <c r="RCG56" s="245"/>
      <c r="RCH56" s="245"/>
      <c r="RCI56" s="245"/>
      <c r="RCJ56" s="245"/>
      <c r="RCK56" s="245"/>
      <c r="RCL56" s="245"/>
      <c r="RCM56" s="245"/>
      <c r="RCN56" s="245"/>
      <c r="RCO56" s="245"/>
      <c r="RCP56" s="245"/>
      <c r="RCQ56" s="245"/>
      <c r="RCR56" s="245"/>
      <c r="RCS56" s="245"/>
      <c r="RCT56" s="245"/>
      <c r="RCU56" s="245"/>
      <c r="RCV56" s="245"/>
      <c r="RCW56" s="245"/>
      <c r="RCX56" s="245"/>
      <c r="RCY56" s="245"/>
      <c r="RCZ56" s="245"/>
      <c r="RDA56" s="245"/>
      <c r="RDB56" s="245"/>
      <c r="RDC56" s="245"/>
      <c r="RDD56" s="245"/>
      <c r="RDE56" s="245"/>
      <c r="RDF56" s="245"/>
      <c r="RDG56" s="245"/>
      <c r="RDH56" s="245"/>
      <c r="RDI56" s="245"/>
      <c r="RDJ56" s="245"/>
      <c r="RDK56" s="245"/>
      <c r="RDL56" s="245"/>
      <c r="RDM56" s="245"/>
      <c r="RDN56" s="245"/>
      <c r="RDO56" s="245"/>
      <c r="RDP56" s="245"/>
      <c r="RDQ56" s="245"/>
      <c r="RDR56" s="245"/>
      <c r="RDS56" s="245"/>
      <c r="RDT56" s="245"/>
      <c r="RDU56" s="245"/>
      <c r="RDV56" s="245"/>
      <c r="RDW56" s="245"/>
      <c r="RDX56" s="245"/>
      <c r="RDY56" s="245"/>
      <c r="RDZ56" s="245"/>
      <c r="REA56" s="245"/>
      <c r="REB56" s="245"/>
      <c r="REC56" s="245"/>
      <c r="RED56" s="245"/>
      <c r="REE56" s="245"/>
      <c r="REF56" s="245"/>
      <c r="REG56" s="245"/>
      <c r="REH56" s="245"/>
      <c r="REI56" s="245"/>
      <c r="REJ56" s="245"/>
      <c r="REK56" s="245"/>
      <c r="REL56" s="245"/>
      <c r="REM56" s="245"/>
      <c r="REN56" s="245"/>
      <c r="REO56" s="245"/>
      <c r="REP56" s="245"/>
      <c r="REQ56" s="245"/>
      <c r="RER56" s="245"/>
      <c r="RES56" s="245"/>
      <c r="RET56" s="245"/>
      <c r="REU56" s="245"/>
      <c r="REV56" s="245"/>
      <c r="REW56" s="245"/>
      <c r="REX56" s="245"/>
      <c r="REY56" s="245"/>
      <c r="REZ56" s="245"/>
      <c r="RFA56" s="245"/>
      <c r="RFB56" s="245"/>
      <c r="RFC56" s="245"/>
      <c r="RFD56" s="245"/>
      <c r="RFE56" s="245"/>
      <c r="RFF56" s="245"/>
      <c r="RFG56" s="245"/>
      <c r="RFH56" s="245"/>
      <c r="RFI56" s="245"/>
      <c r="RFJ56" s="245"/>
      <c r="RFK56" s="245"/>
      <c r="RFL56" s="245"/>
      <c r="RFM56" s="245"/>
      <c r="RFN56" s="245"/>
      <c r="RFO56" s="245"/>
      <c r="RFP56" s="245"/>
      <c r="RFQ56" s="245"/>
      <c r="RFR56" s="245"/>
      <c r="RFS56" s="245"/>
      <c r="RFT56" s="245"/>
      <c r="RFU56" s="245"/>
      <c r="RFV56" s="245"/>
      <c r="RFW56" s="245"/>
      <c r="RFX56" s="245"/>
      <c r="RFY56" s="245"/>
      <c r="RFZ56" s="245"/>
      <c r="RGA56" s="245"/>
      <c r="RGB56" s="245"/>
      <c r="RGC56" s="245"/>
      <c r="RGD56" s="245"/>
      <c r="RGE56" s="245"/>
      <c r="RGF56" s="245"/>
      <c r="RGG56" s="245"/>
      <c r="RGH56" s="245"/>
      <c r="RGI56" s="245"/>
      <c r="RGJ56" s="245"/>
      <c r="RGK56" s="245"/>
      <c r="RGL56" s="245"/>
      <c r="RGM56" s="245"/>
      <c r="RGN56" s="245"/>
      <c r="RGO56" s="245"/>
      <c r="RGP56" s="245"/>
      <c r="RGQ56" s="245"/>
      <c r="RGR56" s="245"/>
      <c r="RGS56" s="245"/>
      <c r="RGT56" s="245"/>
      <c r="RGU56" s="245"/>
      <c r="RGV56" s="245"/>
      <c r="RGW56" s="245"/>
      <c r="RGX56" s="245"/>
      <c r="RGY56" s="245"/>
      <c r="RGZ56" s="245"/>
      <c r="RHA56" s="245"/>
      <c r="RHB56" s="245"/>
      <c r="RHC56" s="245"/>
      <c r="RHD56" s="245"/>
      <c r="RHE56" s="245"/>
      <c r="RHF56" s="245"/>
      <c r="RHG56" s="245"/>
      <c r="RHH56" s="245"/>
      <c r="RHI56" s="245"/>
      <c r="RHJ56" s="245"/>
      <c r="RHK56" s="245"/>
      <c r="RHL56" s="245"/>
      <c r="RHM56" s="245"/>
      <c r="RHN56" s="245"/>
      <c r="RHO56" s="245"/>
      <c r="RHP56" s="245"/>
      <c r="RHQ56" s="245"/>
      <c r="RHR56" s="245"/>
      <c r="RHS56" s="245"/>
      <c r="RHT56" s="245"/>
      <c r="RHU56" s="245"/>
      <c r="RHV56" s="245"/>
      <c r="RHW56" s="245"/>
      <c r="RHX56" s="245"/>
      <c r="RHY56" s="245"/>
      <c r="RHZ56" s="245"/>
      <c r="RIA56" s="245"/>
      <c r="RIB56" s="245"/>
      <c r="RIC56" s="245"/>
      <c r="RID56" s="245"/>
      <c r="RIE56" s="245"/>
      <c r="RIF56" s="245"/>
      <c r="RIG56" s="245"/>
      <c r="RIH56" s="245"/>
      <c r="RII56" s="245"/>
      <c r="RIJ56" s="245"/>
      <c r="RIK56" s="245"/>
      <c r="RIL56" s="245"/>
      <c r="RIM56" s="245"/>
      <c r="RIN56" s="245"/>
      <c r="RIO56" s="245"/>
      <c r="RIP56" s="245"/>
      <c r="RIQ56" s="245"/>
      <c r="RIR56" s="245"/>
      <c r="RIS56" s="245"/>
      <c r="RIT56" s="245"/>
      <c r="RIU56" s="245"/>
      <c r="RIV56" s="245"/>
      <c r="RIW56" s="245"/>
      <c r="RIX56" s="245"/>
      <c r="RIY56" s="245"/>
      <c r="RIZ56" s="245"/>
      <c r="RJA56" s="245"/>
      <c r="RJB56" s="245"/>
      <c r="RJC56" s="245"/>
      <c r="RJD56" s="245"/>
      <c r="RJE56" s="245"/>
      <c r="RJF56" s="245"/>
      <c r="RJG56" s="245"/>
      <c r="RJH56" s="245"/>
      <c r="RJI56" s="245"/>
      <c r="RJJ56" s="245"/>
      <c r="RJK56" s="245"/>
      <c r="RJL56" s="245"/>
      <c r="RJM56" s="245"/>
      <c r="RJN56" s="245"/>
      <c r="RJO56" s="245"/>
      <c r="RJP56" s="245"/>
      <c r="RJQ56" s="245"/>
      <c r="RJR56" s="245"/>
      <c r="RJS56" s="245"/>
      <c r="RJT56" s="245"/>
      <c r="RJU56" s="245"/>
      <c r="RJV56" s="245"/>
      <c r="RJW56" s="245"/>
      <c r="RJX56" s="245"/>
      <c r="RJY56" s="245"/>
      <c r="RJZ56" s="245"/>
      <c r="RKA56" s="245"/>
      <c r="RKB56" s="245"/>
      <c r="RKC56" s="245"/>
      <c r="RKD56" s="245"/>
      <c r="RKE56" s="245"/>
      <c r="RKF56" s="245"/>
      <c r="RKG56" s="245"/>
      <c r="RKH56" s="245"/>
      <c r="RKI56" s="245"/>
      <c r="RKJ56" s="245"/>
      <c r="RKK56" s="245"/>
      <c r="RKL56" s="245"/>
      <c r="RKM56" s="245"/>
      <c r="RKN56" s="245"/>
      <c r="RKO56" s="245"/>
      <c r="RKP56" s="245"/>
      <c r="RKQ56" s="245"/>
      <c r="RKR56" s="245"/>
      <c r="RKS56" s="245"/>
      <c r="RKT56" s="245"/>
      <c r="RKU56" s="245"/>
      <c r="RKV56" s="245"/>
      <c r="RKW56" s="245"/>
      <c r="RKX56" s="245"/>
      <c r="RKY56" s="245"/>
      <c r="RKZ56" s="245"/>
      <c r="RLA56" s="245"/>
      <c r="RLB56" s="245"/>
      <c r="RLC56" s="245"/>
      <c r="RLD56" s="245"/>
      <c r="RLE56" s="245"/>
      <c r="RLF56" s="245"/>
      <c r="RLG56" s="245"/>
      <c r="RLH56" s="245"/>
      <c r="RLI56" s="245"/>
      <c r="RLJ56" s="245"/>
      <c r="RLK56" s="245"/>
      <c r="RLL56" s="245"/>
      <c r="RLM56" s="245"/>
      <c r="RLN56" s="245"/>
      <c r="RLO56" s="245"/>
      <c r="RLP56" s="245"/>
      <c r="RLQ56" s="245"/>
      <c r="RLR56" s="245"/>
      <c r="RLS56" s="245"/>
      <c r="RLT56" s="245"/>
      <c r="RLU56" s="245"/>
      <c r="RLV56" s="245"/>
      <c r="RLW56" s="245"/>
      <c r="RLX56" s="245"/>
      <c r="RLY56" s="245"/>
      <c r="RLZ56" s="245"/>
      <c r="RMA56" s="245"/>
      <c r="RMB56" s="245"/>
      <c r="RMC56" s="245"/>
      <c r="RMD56" s="245"/>
      <c r="RME56" s="245"/>
      <c r="RMF56" s="245"/>
      <c r="RMG56" s="245"/>
      <c r="RMH56" s="245"/>
      <c r="RMI56" s="245"/>
      <c r="RMJ56" s="245"/>
      <c r="RMK56" s="245"/>
      <c r="RML56" s="245"/>
      <c r="RMM56" s="245"/>
      <c r="RMN56" s="245"/>
      <c r="RMO56" s="245"/>
      <c r="RMP56" s="245"/>
      <c r="RMQ56" s="245"/>
      <c r="RMR56" s="245"/>
      <c r="RMS56" s="245"/>
      <c r="RMT56" s="245"/>
      <c r="RMU56" s="245"/>
      <c r="RMV56" s="245"/>
      <c r="RMW56" s="245"/>
      <c r="RMX56" s="245"/>
      <c r="RMY56" s="245"/>
      <c r="RMZ56" s="245"/>
      <c r="RNA56" s="245"/>
      <c r="RNB56" s="245"/>
      <c r="RNC56" s="245"/>
      <c r="RND56" s="245"/>
      <c r="RNE56" s="245"/>
      <c r="RNF56" s="245"/>
      <c r="RNG56" s="245"/>
      <c r="RNH56" s="245"/>
      <c r="RNI56" s="245"/>
      <c r="RNJ56" s="245"/>
      <c r="RNK56" s="245"/>
      <c r="RNL56" s="245"/>
      <c r="RNM56" s="245"/>
      <c r="RNN56" s="245"/>
      <c r="RNO56" s="245"/>
      <c r="RNP56" s="245"/>
      <c r="RNQ56" s="245"/>
      <c r="RNR56" s="245"/>
      <c r="RNS56" s="245"/>
      <c r="RNT56" s="245"/>
      <c r="RNU56" s="245"/>
      <c r="RNV56" s="245"/>
      <c r="RNW56" s="245"/>
      <c r="RNX56" s="245"/>
      <c r="RNY56" s="245"/>
      <c r="RNZ56" s="245"/>
      <c r="ROA56" s="245"/>
      <c r="ROB56" s="245"/>
      <c r="ROC56" s="245"/>
      <c r="ROD56" s="245"/>
      <c r="ROE56" s="245"/>
      <c r="ROF56" s="245"/>
      <c r="ROG56" s="245"/>
      <c r="ROH56" s="245"/>
      <c r="ROI56" s="245"/>
      <c r="ROJ56" s="245"/>
      <c r="ROK56" s="245"/>
      <c r="ROL56" s="245"/>
      <c r="ROM56" s="245"/>
      <c r="RON56" s="245"/>
      <c r="ROO56" s="245"/>
      <c r="ROP56" s="245"/>
      <c r="ROQ56" s="245"/>
      <c r="ROR56" s="245"/>
      <c r="ROS56" s="245"/>
      <c r="ROT56" s="245"/>
      <c r="ROU56" s="245"/>
      <c r="ROV56" s="245"/>
      <c r="ROW56" s="245"/>
      <c r="ROX56" s="245"/>
      <c r="ROY56" s="245"/>
      <c r="ROZ56" s="245"/>
      <c r="RPA56" s="245"/>
      <c r="RPB56" s="245"/>
      <c r="RPC56" s="245"/>
      <c r="RPD56" s="245"/>
      <c r="RPE56" s="245"/>
      <c r="RPF56" s="245"/>
      <c r="RPG56" s="245"/>
      <c r="RPH56" s="245"/>
      <c r="RPI56" s="245"/>
      <c r="RPJ56" s="245"/>
      <c r="RPK56" s="245"/>
      <c r="RPL56" s="245"/>
      <c r="RPM56" s="245"/>
      <c r="RPN56" s="245"/>
      <c r="RPO56" s="245"/>
      <c r="RPP56" s="245"/>
      <c r="RPQ56" s="245"/>
      <c r="RPR56" s="245"/>
      <c r="RPS56" s="245"/>
      <c r="RPT56" s="245"/>
      <c r="RPU56" s="245"/>
      <c r="RPV56" s="245"/>
      <c r="RPW56" s="245"/>
      <c r="RPX56" s="245"/>
      <c r="RPY56" s="245"/>
      <c r="RPZ56" s="245"/>
      <c r="RQA56" s="245"/>
      <c r="RQB56" s="245"/>
      <c r="RQC56" s="245"/>
      <c r="RQD56" s="245"/>
      <c r="RQE56" s="245"/>
      <c r="RQF56" s="245"/>
      <c r="RQG56" s="245"/>
      <c r="RQH56" s="245"/>
      <c r="RQI56" s="245"/>
      <c r="RQJ56" s="245"/>
      <c r="RQK56" s="245"/>
      <c r="RQL56" s="245"/>
      <c r="RQM56" s="245"/>
      <c r="RQN56" s="245"/>
      <c r="RQO56" s="245"/>
      <c r="RQP56" s="245"/>
      <c r="RQQ56" s="245"/>
      <c r="RQR56" s="245"/>
      <c r="RQS56" s="245"/>
      <c r="RQT56" s="245"/>
      <c r="RQU56" s="245"/>
      <c r="RQV56" s="245"/>
      <c r="RQW56" s="245"/>
      <c r="RQX56" s="245"/>
      <c r="RQY56" s="245"/>
      <c r="RQZ56" s="245"/>
      <c r="RRA56" s="245"/>
      <c r="RRB56" s="245"/>
      <c r="RRC56" s="245"/>
      <c r="RRD56" s="245"/>
      <c r="RRE56" s="245"/>
      <c r="RRF56" s="245"/>
      <c r="RRG56" s="245"/>
      <c r="RRH56" s="245"/>
      <c r="RRI56" s="245"/>
      <c r="RRJ56" s="245"/>
      <c r="RRK56" s="245"/>
      <c r="RRL56" s="245"/>
      <c r="RRM56" s="245"/>
      <c r="RRN56" s="245"/>
      <c r="RRO56" s="245"/>
      <c r="RRP56" s="245"/>
      <c r="RRQ56" s="245"/>
      <c r="RRR56" s="245"/>
      <c r="RRS56" s="245"/>
      <c r="RRT56" s="245"/>
      <c r="RRU56" s="245"/>
      <c r="RRV56" s="245"/>
      <c r="RRW56" s="245"/>
      <c r="RRX56" s="245"/>
      <c r="RRY56" s="245"/>
      <c r="RRZ56" s="245"/>
      <c r="RSA56" s="245"/>
      <c r="RSB56" s="245"/>
      <c r="RSC56" s="245"/>
      <c r="RSD56" s="245"/>
      <c r="RSE56" s="245"/>
      <c r="RSF56" s="245"/>
      <c r="RSG56" s="245"/>
      <c r="RSH56" s="245"/>
      <c r="RSI56" s="245"/>
      <c r="RSJ56" s="245"/>
      <c r="RSK56" s="245"/>
      <c r="RSL56" s="245"/>
      <c r="RSM56" s="245"/>
      <c r="RSN56" s="245"/>
      <c r="RSO56" s="245"/>
      <c r="RSP56" s="245"/>
      <c r="RSQ56" s="245"/>
      <c r="RSR56" s="245"/>
      <c r="RSS56" s="245"/>
      <c r="RST56" s="245"/>
      <c r="RSU56" s="245"/>
      <c r="RSV56" s="245"/>
      <c r="RSW56" s="245"/>
      <c r="RSX56" s="245"/>
      <c r="RSY56" s="245"/>
      <c r="RSZ56" s="245"/>
      <c r="RTA56" s="245"/>
      <c r="RTB56" s="245"/>
      <c r="RTC56" s="245"/>
      <c r="RTD56" s="245"/>
      <c r="RTE56" s="245"/>
      <c r="RTF56" s="245"/>
      <c r="RTG56" s="245"/>
      <c r="RTH56" s="245"/>
      <c r="RTI56" s="245"/>
      <c r="RTJ56" s="245"/>
      <c r="RTK56" s="245"/>
      <c r="RTL56" s="245"/>
      <c r="RTM56" s="245"/>
      <c r="RTN56" s="245"/>
      <c r="RTO56" s="245"/>
      <c r="RTP56" s="245"/>
      <c r="RTQ56" s="245"/>
      <c r="RTR56" s="245"/>
      <c r="RTS56" s="245"/>
      <c r="RTT56" s="245"/>
      <c r="RTU56" s="245"/>
      <c r="RTV56" s="245"/>
      <c r="RTW56" s="245"/>
      <c r="RTX56" s="245"/>
      <c r="RTY56" s="245"/>
      <c r="RTZ56" s="245"/>
      <c r="RUA56" s="245"/>
      <c r="RUB56" s="245"/>
      <c r="RUC56" s="245"/>
      <c r="RUD56" s="245"/>
      <c r="RUE56" s="245"/>
      <c r="RUF56" s="245"/>
      <c r="RUG56" s="245"/>
      <c r="RUH56" s="245"/>
      <c r="RUI56" s="245"/>
      <c r="RUJ56" s="245"/>
      <c r="RUK56" s="245"/>
      <c r="RUL56" s="245"/>
      <c r="RUM56" s="245"/>
      <c r="RUN56" s="245"/>
      <c r="RUO56" s="245"/>
      <c r="RUP56" s="245"/>
      <c r="RUQ56" s="245"/>
      <c r="RUR56" s="245"/>
      <c r="RUS56" s="245"/>
      <c r="RUT56" s="245"/>
      <c r="RUU56" s="245"/>
      <c r="RUV56" s="245"/>
      <c r="RUW56" s="245"/>
      <c r="RUX56" s="245"/>
      <c r="RUY56" s="245"/>
      <c r="RUZ56" s="245"/>
      <c r="RVA56" s="245"/>
      <c r="RVB56" s="245"/>
      <c r="RVC56" s="245"/>
      <c r="RVD56" s="245"/>
      <c r="RVE56" s="245"/>
      <c r="RVF56" s="245"/>
      <c r="RVG56" s="245"/>
      <c r="RVH56" s="245"/>
      <c r="RVI56" s="245"/>
      <c r="RVJ56" s="245"/>
      <c r="RVK56" s="245"/>
      <c r="RVL56" s="245"/>
      <c r="RVM56" s="245"/>
      <c r="RVN56" s="245"/>
      <c r="RVO56" s="245"/>
      <c r="RVP56" s="245"/>
      <c r="RVQ56" s="245"/>
      <c r="RVR56" s="245"/>
      <c r="RVS56" s="245"/>
      <c r="RVT56" s="245"/>
      <c r="RVU56" s="245"/>
      <c r="RVV56" s="245"/>
      <c r="RVW56" s="245"/>
      <c r="RVX56" s="245"/>
      <c r="RVY56" s="245"/>
      <c r="RVZ56" s="245"/>
      <c r="RWA56" s="245"/>
      <c r="RWB56" s="245"/>
      <c r="RWC56" s="245"/>
      <c r="RWD56" s="245"/>
      <c r="RWE56" s="245"/>
      <c r="RWF56" s="245"/>
      <c r="RWG56" s="245"/>
      <c r="RWH56" s="245"/>
      <c r="RWI56" s="245"/>
      <c r="RWJ56" s="245"/>
      <c r="RWK56" s="245"/>
      <c r="RWL56" s="245"/>
      <c r="RWM56" s="245"/>
      <c r="RWN56" s="245"/>
      <c r="RWO56" s="245"/>
      <c r="RWP56" s="245"/>
      <c r="RWQ56" s="245"/>
      <c r="RWR56" s="245"/>
      <c r="RWS56" s="245"/>
      <c r="RWT56" s="245"/>
      <c r="RWU56" s="245"/>
      <c r="RWV56" s="245"/>
      <c r="RWW56" s="245"/>
      <c r="RWX56" s="245"/>
      <c r="RWY56" s="245"/>
      <c r="RWZ56" s="245"/>
      <c r="RXA56" s="245"/>
      <c r="RXB56" s="245"/>
      <c r="RXC56" s="245"/>
      <c r="RXD56" s="245"/>
      <c r="RXE56" s="245"/>
      <c r="RXF56" s="245"/>
      <c r="RXG56" s="245"/>
      <c r="RXH56" s="245"/>
      <c r="RXI56" s="245"/>
      <c r="RXJ56" s="245"/>
      <c r="RXK56" s="245"/>
      <c r="RXL56" s="245"/>
      <c r="RXM56" s="245"/>
      <c r="RXN56" s="245"/>
      <c r="RXO56" s="245"/>
      <c r="RXP56" s="245"/>
      <c r="RXQ56" s="245"/>
      <c r="RXR56" s="245"/>
      <c r="RXS56" s="245"/>
      <c r="RXT56" s="245"/>
      <c r="RXU56" s="245"/>
      <c r="RXV56" s="245"/>
      <c r="RXW56" s="245"/>
      <c r="RXX56" s="245"/>
      <c r="RXY56" s="245"/>
      <c r="RXZ56" s="245"/>
      <c r="RYA56" s="245"/>
      <c r="RYB56" s="245"/>
      <c r="RYC56" s="245"/>
      <c r="RYD56" s="245"/>
      <c r="RYE56" s="245"/>
      <c r="RYF56" s="245"/>
      <c r="RYG56" s="245"/>
      <c r="RYH56" s="245"/>
      <c r="RYI56" s="245"/>
      <c r="RYJ56" s="245"/>
      <c r="RYK56" s="245"/>
      <c r="RYL56" s="245"/>
      <c r="RYM56" s="245"/>
      <c r="RYN56" s="245"/>
      <c r="RYO56" s="245"/>
      <c r="RYP56" s="245"/>
      <c r="RYQ56" s="245"/>
      <c r="RYR56" s="245"/>
      <c r="RYS56" s="245"/>
      <c r="RYT56" s="245"/>
      <c r="RYU56" s="245"/>
      <c r="RYV56" s="245"/>
      <c r="RYW56" s="245"/>
      <c r="RYX56" s="245"/>
      <c r="RYY56" s="245"/>
      <c r="RYZ56" s="245"/>
      <c r="RZA56" s="245"/>
      <c r="RZB56" s="245"/>
      <c r="RZC56" s="245"/>
      <c r="RZD56" s="245"/>
      <c r="RZE56" s="245"/>
      <c r="RZF56" s="245"/>
      <c r="RZG56" s="245"/>
      <c r="RZH56" s="245"/>
      <c r="RZI56" s="245"/>
      <c r="RZJ56" s="245"/>
      <c r="RZK56" s="245"/>
      <c r="RZL56" s="245"/>
      <c r="RZM56" s="245"/>
      <c r="RZN56" s="245"/>
      <c r="RZO56" s="245"/>
      <c r="RZP56" s="245"/>
      <c r="RZQ56" s="245"/>
      <c r="RZR56" s="245"/>
      <c r="RZS56" s="245"/>
      <c r="RZT56" s="245"/>
      <c r="RZU56" s="245"/>
      <c r="RZV56" s="245"/>
      <c r="RZW56" s="245"/>
      <c r="RZX56" s="245"/>
      <c r="RZY56" s="245"/>
      <c r="RZZ56" s="245"/>
      <c r="SAA56" s="245"/>
      <c r="SAB56" s="245"/>
      <c r="SAC56" s="245"/>
      <c r="SAD56" s="245"/>
      <c r="SAE56" s="245"/>
      <c r="SAF56" s="245"/>
      <c r="SAG56" s="245"/>
      <c r="SAH56" s="245"/>
      <c r="SAI56" s="245"/>
      <c r="SAJ56" s="245"/>
      <c r="SAK56" s="245"/>
      <c r="SAL56" s="245"/>
      <c r="SAM56" s="245"/>
      <c r="SAN56" s="245"/>
      <c r="SAO56" s="245"/>
      <c r="SAP56" s="245"/>
      <c r="SAQ56" s="245"/>
      <c r="SAR56" s="245"/>
      <c r="SAS56" s="245"/>
      <c r="SAT56" s="245"/>
      <c r="SAU56" s="245"/>
      <c r="SAV56" s="245"/>
      <c r="SAW56" s="245"/>
      <c r="SAX56" s="245"/>
      <c r="SAY56" s="245"/>
      <c r="SAZ56" s="245"/>
      <c r="SBA56" s="245"/>
      <c r="SBB56" s="245"/>
      <c r="SBC56" s="245"/>
      <c r="SBD56" s="245"/>
      <c r="SBE56" s="245"/>
      <c r="SBF56" s="245"/>
      <c r="SBG56" s="245"/>
      <c r="SBH56" s="245"/>
      <c r="SBI56" s="245"/>
      <c r="SBJ56" s="245"/>
      <c r="SBK56" s="245"/>
      <c r="SBL56" s="245"/>
      <c r="SBM56" s="245"/>
      <c r="SBN56" s="245"/>
      <c r="SBO56" s="245"/>
      <c r="SBP56" s="245"/>
      <c r="SBQ56" s="245"/>
      <c r="SBR56" s="245"/>
      <c r="SBS56" s="245"/>
      <c r="SBT56" s="245"/>
      <c r="SBU56" s="245"/>
      <c r="SBV56" s="245"/>
      <c r="SBW56" s="245"/>
      <c r="SBX56" s="245"/>
      <c r="SBY56" s="245"/>
      <c r="SBZ56" s="245"/>
      <c r="SCA56" s="245"/>
      <c r="SCB56" s="245"/>
      <c r="SCC56" s="245"/>
      <c r="SCD56" s="245"/>
      <c r="SCE56" s="245"/>
      <c r="SCF56" s="245"/>
      <c r="SCG56" s="245"/>
      <c r="SCH56" s="245"/>
      <c r="SCI56" s="245"/>
      <c r="SCJ56" s="245"/>
      <c r="SCK56" s="245"/>
      <c r="SCL56" s="245"/>
      <c r="SCM56" s="245"/>
      <c r="SCN56" s="245"/>
      <c r="SCO56" s="245"/>
      <c r="SCP56" s="245"/>
      <c r="SCQ56" s="245"/>
      <c r="SCR56" s="245"/>
      <c r="SCS56" s="245"/>
      <c r="SCT56" s="245"/>
      <c r="SCU56" s="245"/>
      <c r="SCV56" s="245"/>
      <c r="SCW56" s="245"/>
      <c r="SCX56" s="245"/>
      <c r="SCY56" s="245"/>
      <c r="SCZ56" s="245"/>
      <c r="SDA56" s="245"/>
      <c r="SDB56" s="245"/>
      <c r="SDC56" s="245"/>
      <c r="SDD56" s="245"/>
      <c r="SDE56" s="245"/>
      <c r="SDF56" s="245"/>
      <c r="SDG56" s="245"/>
      <c r="SDH56" s="245"/>
      <c r="SDI56" s="245"/>
      <c r="SDJ56" s="245"/>
      <c r="SDK56" s="245"/>
      <c r="SDL56" s="245"/>
      <c r="SDM56" s="245"/>
      <c r="SDN56" s="245"/>
      <c r="SDO56" s="245"/>
      <c r="SDP56" s="245"/>
      <c r="SDQ56" s="245"/>
      <c r="SDR56" s="245"/>
      <c r="SDS56" s="245"/>
      <c r="SDT56" s="245"/>
      <c r="SDU56" s="245"/>
      <c r="SDV56" s="245"/>
      <c r="SDW56" s="245"/>
      <c r="SDX56" s="245"/>
      <c r="SDY56" s="245"/>
      <c r="SDZ56" s="245"/>
      <c r="SEA56" s="245"/>
      <c r="SEB56" s="245"/>
      <c r="SEC56" s="245"/>
      <c r="SED56" s="245"/>
      <c r="SEE56" s="245"/>
      <c r="SEF56" s="245"/>
      <c r="SEG56" s="245"/>
      <c r="SEH56" s="245"/>
      <c r="SEI56" s="245"/>
      <c r="SEJ56" s="245"/>
      <c r="SEK56" s="245"/>
      <c r="SEL56" s="245"/>
      <c r="SEM56" s="245"/>
      <c r="SEN56" s="245"/>
      <c r="SEO56" s="245"/>
      <c r="SEP56" s="245"/>
      <c r="SEQ56" s="245"/>
      <c r="SER56" s="245"/>
      <c r="SES56" s="245"/>
      <c r="SET56" s="245"/>
      <c r="SEU56" s="245"/>
      <c r="SEV56" s="245"/>
      <c r="SEW56" s="245"/>
      <c r="SEX56" s="245"/>
      <c r="SEY56" s="245"/>
      <c r="SEZ56" s="245"/>
      <c r="SFA56" s="245"/>
      <c r="SFB56" s="245"/>
      <c r="SFC56" s="245"/>
      <c r="SFD56" s="245"/>
      <c r="SFE56" s="245"/>
      <c r="SFF56" s="245"/>
      <c r="SFG56" s="245"/>
      <c r="SFH56" s="245"/>
      <c r="SFI56" s="245"/>
      <c r="SFJ56" s="245"/>
      <c r="SFK56" s="245"/>
      <c r="SFL56" s="245"/>
      <c r="SFM56" s="245"/>
      <c r="SFN56" s="245"/>
      <c r="SFO56" s="245"/>
      <c r="SFP56" s="245"/>
      <c r="SFQ56" s="245"/>
      <c r="SFR56" s="245"/>
      <c r="SFS56" s="245"/>
      <c r="SFT56" s="245"/>
      <c r="SFU56" s="245"/>
      <c r="SFV56" s="245"/>
      <c r="SFW56" s="245"/>
      <c r="SFX56" s="245"/>
      <c r="SFY56" s="245"/>
      <c r="SFZ56" s="245"/>
      <c r="SGA56" s="245"/>
      <c r="SGB56" s="245"/>
      <c r="SGC56" s="245"/>
      <c r="SGD56" s="245"/>
      <c r="SGE56" s="245"/>
      <c r="SGF56" s="245"/>
      <c r="SGG56" s="245"/>
      <c r="SGH56" s="245"/>
      <c r="SGI56" s="245"/>
      <c r="SGJ56" s="245"/>
      <c r="SGK56" s="245"/>
      <c r="SGL56" s="245"/>
      <c r="SGM56" s="245"/>
      <c r="SGN56" s="245"/>
      <c r="SGO56" s="245"/>
      <c r="SGP56" s="245"/>
      <c r="SGQ56" s="245"/>
      <c r="SGR56" s="245"/>
      <c r="SGS56" s="245"/>
      <c r="SGT56" s="245"/>
      <c r="SGU56" s="245"/>
      <c r="SGV56" s="245"/>
      <c r="SGW56" s="245"/>
      <c r="SGX56" s="245"/>
      <c r="SGY56" s="245"/>
      <c r="SGZ56" s="245"/>
      <c r="SHA56" s="245"/>
      <c r="SHB56" s="245"/>
      <c r="SHC56" s="245"/>
      <c r="SHD56" s="245"/>
      <c r="SHE56" s="245"/>
      <c r="SHF56" s="245"/>
      <c r="SHG56" s="245"/>
      <c r="SHH56" s="245"/>
      <c r="SHI56" s="245"/>
      <c r="SHJ56" s="245"/>
      <c r="SHK56" s="245"/>
      <c r="SHL56" s="245"/>
      <c r="SHM56" s="245"/>
      <c r="SHN56" s="245"/>
      <c r="SHO56" s="245"/>
      <c r="SHP56" s="245"/>
      <c r="SHQ56" s="245"/>
      <c r="SHR56" s="245"/>
      <c r="SHS56" s="245"/>
      <c r="SHT56" s="245"/>
      <c r="SHU56" s="245"/>
      <c r="SHV56" s="245"/>
      <c r="SHW56" s="245"/>
      <c r="SHX56" s="245"/>
      <c r="SHY56" s="245"/>
      <c r="SHZ56" s="245"/>
      <c r="SIA56" s="245"/>
      <c r="SIB56" s="245"/>
      <c r="SIC56" s="245"/>
      <c r="SID56" s="245"/>
      <c r="SIE56" s="245"/>
      <c r="SIF56" s="245"/>
      <c r="SIG56" s="245"/>
      <c r="SIH56" s="245"/>
      <c r="SII56" s="245"/>
      <c r="SIJ56" s="245"/>
      <c r="SIK56" s="245"/>
      <c r="SIL56" s="245"/>
      <c r="SIM56" s="245"/>
      <c r="SIN56" s="245"/>
      <c r="SIO56" s="245"/>
      <c r="SIP56" s="245"/>
      <c r="SIQ56" s="245"/>
      <c r="SIR56" s="245"/>
      <c r="SIS56" s="245"/>
      <c r="SIT56" s="245"/>
      <c r="SIU56" s="245"/>
      <c r="SIV56" s="245"/>
      <c r="SIW56" s="245"/>
      <c r="SIX56" s="245"/>
      <c r="SIY56" s="245"/>
      <c r="SIZ56" s="245"/>
      <c r="SJA56" s="245"/>
      <c r="SJB56" s="245"/>
      <c r="SJC56" s="245"/>
      <c r="SJD56" s="245"/>
      <c r="SJE56" s="245"/>
      <c r="SJF56" s="245"/>
      <c r="SJG56" s="245"/>
      <c r="SJH56" s="245"/>
      <c r="SJI56" s="245"/>
      <c r="SJJ56" s="245"/>
      <c r="SJK56" s="245"/>
      <c r="SJL56" s="245"/>
      <c r="SJM56" s="245"/>
      <c r="SJN56" s="245"/>
      <c r="SJO56" s="245"/>
      <c r="SJP56" s="245"/>
      <c r="SJQ56" s="245"/>
      <c r="SJR56" s="245"/>
      <c r="SJS56" s="245"/>
      <c r="SJT56" s="245"/>
      <c r="SJU56" s="245"/>
      <c r="SJV56" s="245"/>
      <c r="SJW56" s="245"/>
      <c r="SJX56" s="245"/>
      <c r="SJY56" s="245"/>
      <c r="SJZ56" s="245"/>
      <c r="SKA56" s="245"/>
      <c r="SKB56" s="245"/>
      <c r="SKC56" s="245"/>
      <c r="SKD56" s="245"/>
      <c r="SKE56" s="245"/>
      <c r="SKF56" s="245"/>
      <c r="SKG56" s="245"/>
      <c r="SKH56" s="245"/>
      <c r="SKI56" s="245"/>
      <c r="SKJ56" s="245"/>
      <c r="SKK56" s="245"/>
      <c r="SKL56" s="245"/>
      <c r="SKM56" s="245"/>
      <c r="SKN56" s="245"/>
      <c r="SKO56" s="245"/>
      <c r="SKP56" s="245"/>
      <c r="SKQ56" s="245"/>
      <c r="SKR56" s="245"/>
      <c r="SKS56" s="245"/>
      <c r="SKT56" s="245"/>
      <c r="SKU56" s="245"/>
      <c r="SKV56" s="245"/>
      <c r="SKW56" s="245"/>
      <c r="SKX56" s="245"/>
      <c r="SKY56" s="245"/>
      <c r="SKZ56" s="245"/>
      <c r="SLA56" s="245"/>
      <c r="SLB56" s="245"/>
      <c r="SLC56" s="245"/>
      <c r="SLD56" s="245"/>
      <c r="SLE56" s="245"/>
      <c r="SLF56" s="245"/>
      <c r="SLG56" s="245"/>
      <c r="SLH56" s="245"/>
      <c r="SLI56" s="245"/>
      <c r="SLJ56" s="245"/>
      <c r="SLK56" s="245"/>
      <c r="SLL56" s="245"/>
      <c r="SLM56" s="245"/>
      <c r="SLN56" s="245"/>
      <c r="SLO56" s="245"/>
      <c r="SLP56" s="245"/>
      <c r="SLQ56" s="245"/>
      <c r="SLR56" s="245"/>
      <c r="SLS56" s="245"/>
      <c r="SLT56" s="245"/>
      <c r="SLU56" s="245"/>
      <c r="SLV56" s="245"/>
      <c r="SLW56" s="245"/>
      <c r="SLX56" s="245"/>
      <c r="SLY56" s="245"/>
      <c r="SLZ56" s="245"/>
      <c r="SMA56" s="245"/>
      <c r="SMB56" s="245"/>
      <c r="SMC56" s="245"/>
      <c r="SMD56" s="245"/>
      <c r="SME56" s="245"/>
      <c r="SMF56" s="245"/>
      <c r="SMG56" s="245"/>
      <c r="SMH56" s="245"/>
      <c r="SMI56" s="245"/>
      <c r="SMJ56" s="245"/>
      <c r="SMK56" s="245"/>
      <c r="SML56" s="245"/>
      <c r="SMM56" s="245"/>
      <c r="SMN56" s="245"/>
      <c r="SMO56" s="245"/>
      <c r="SMP56" s="245"/>
      <c r="SMQ56" s="245"/>
      <c r="SMR56" s="245"/>
      <c r="SMS56" s="245"/>
      <c r="SMT56" s="245"/>
      <c r="SMU56" s="245"/>
      <c r="SMV56" s="245"/>
      <c r="SMW56" s="245"/>
      <c r="SMX56" s="245"/>
      <c r="SMY56" s="245"/>
      <c r="SMZ56" s="245"/>
      <c r="SNA56" s="245"/>
      <c r="SNB56" s="245"/>
      <c r="SNC56" s="245"/>
      <c r="SND56" s="245"/>
      <c r="SNE56" s="245"/>
      <c r="SNF56" s="245"/>
      <c r="SNG56" s="245"/>
      <c r="SNH56" s="245"/>
      <c r="SNI56" s="245"/>
      <c r="SNJ56" s="245"/>
      <c r="SNK56" s="245"/>
      <c r="SNL56" s="245"/>
      <c r="SNM56" s="245"/>
      <c r="SNN56" s="245"/>
      <c r="SNO56" s="245"/>
      <c r="SNP56" s="245"/>
      <c r="SNQ56" s="245"/>
      <c r="SNR56" s="245"/>
      <c r="SNS56" s="245"/>
      <c r="SNT56" s="245"/>
      <c r="SNU56" s="245"/>
      <c r="SNV56" s="245"/>
      <c r="SNW56" s="245"/>
      <c r="SNX56" s="245"/>
      <c r="SNY56" s="245"/>
      <c r="SNZ56" s="245"/>
      <c r="SOA56" s="245"/>
      <c r="SOB56" s="245"/>
      <c r="SOC56" s="245"/>
      <c r="SOD56" s="245"/>
      <c r="SOE56" s="245"/>
      <c r="SOF56" s="245"/>
      <c r="SOG56" s="245"/>
      <c r="SOH56" s="245"/>
      <c r="SOI56" s="245"/>
      <c r="SOJ56" s="245"/>
      <c r="SOK56" s="245"/>
      <c r="SOL56" s="245"/>
      <c r="SOM56" s="245"/>
      <c r="SON56" s="245"/>
      <c r="SOO56" s="245"/>
      <c r="SOP56" s="245"/>
      <c r="SOQ56" s="245"/>
      <c r="SOR56" s="245"/>
      <c r="SOS56" s="245"/>
      <c r="SOT56" s="245"/>
      <c r="SOU56" s="245"/>
      <c r="SOV56" s="245"/>
      <c r="SOW56" s="245"/>
      <c r="SOX56" s="245"/>
      <c r="SOY56" s="245"/>
      <c r="SOZ56" s="245"/>
      <c r="SPA56" s="245"/>
      <c r="SPB56" s="245"/>
      <c r="SPC56" s="245"/>
      <c r="SPD56" s="245"/>
      <c r="SPE56" s="245"/>
      <c r="SPF56" s="245"/>
      <c r="SPG56" s="245"/>
      <c r="SPH56" s="245"/>
      <c r="SPI56" s="245"/>
      <c r="SPJ56" s="245"/>
      <c r="SPK56" s="245"/>
      <c r="SPL56" s="245"/>
      <c r="SPM56" s="245"/>
      <c r="SPN56" s="245"/>
      <c r="SPO56" s="245"/>
      <c r="SPP56" s="245"/>
      <c r="SPQ56" s="245"/>
      <c r="SPR56" s="245"/>
      <c r="SPS56" s="245"/>
      <c r="SPT56" s="245"/>
      <c r="SPU56" s="245"/>
      <c r="SPV56" s="245"/>
      <c r="SPW56" s="245"/>
      <c r="SPX56" s="245"/>
      <c r="SPY56" s="245"/>
      <c r="SPZ56" s="245"/>
      <c r="SQA56" s="245"/>
      <c r="SQB56" s="245"/>
      <c r="SQC56" s="245"/>
      <c r="SQD56" s="245"/>
      <c r="SQE56" s="245"/>
      <c r="SQF56" s="245"/>
      <c r="SQG56" s="245"/>
      <c r="SQH56" s="245"/>
      <c r="SQI56" s="245"/>
      <c r="SQJ56" s="245"/>
      <c r="SQK56" s="245"/>
      <c r="SQL56" s="245"/>
      <c r="SQM56" s="245"/>
      <c r="SQN56" s="245"/>
      <c r="SQO56" s="245"/>
      <c r="SQP56" s="245"/>
      <c r="SQQ56" s="245"/>
      <c r="SQR56" s="245"/>
      <c r="SQS56" s="245"/>
      <c r="SQT56" s="245"/>
      <c r="SQU56" s="245"/>
      <c r="SQV56" s="245"/>
      <c r="SQW56" s="245"/>
      <c r="SQX56" s="245"/>
      <c r="SQY56" s="245"/>
      <c r="SQZ56" s="245"/>
      <c r="SRA56" s="245"/>
      <c r="SRB56" s="245"/>
      <c r="SRC56" s="245"/>
      <c r="SRD56" s="245"/>
      <c r="SRE56" s="245"/>
      <c r="SRF56" s="245"/>
      <c r="SRG56" s="245"/>
      <c r="SRH56" s="245"/>
      <c r="SRI56" s="245"/>
      <c r="SRJ56" s="245"/>
      <c r="SRK56" s="245"/>
      <c r="SRL56" s="245"/>
      <c r="SRM56" s="245"/>
      <c r="SRN56" s="245"/>
      <c r="SRO56" s="245"/>
      <c r="SRP56" s="245"/>
      <c r="SRQ56" s="245"/>
      <c r="SRR56" s="245"/>
      <c r="SRS56" s="245"/>
      <c r="SRT56" s="245"/>
      <c r="SRU56" s="245"/>
      <c r="SRV56" s="245"/>
      <c r="SRW56" s="245"/>
      <c r="SRX56" s="245"/>
      <c r="SRY56" s="245"/>
      <c r="SRZ56" s="245"/>
      <c r="SSA56" s="245"/>
      <c r="SSB56" s="245"/>
      <c r="SSC56" s="245"/>
      <c r="SSD56" s="245"/>
      <c r="SSE56" s="245"/>
      <c r="SSF56" s="245"/>
      <c r="SSG56" s="245"/>
      <c r="SSH56" s="245"/>
      <c r="SSI56" s="245"/>
      <c r="SSJ56" s="245"/>
      <c r="SSK56" s="245"/>
      <c r="SSL56" s="245"/>
      <c r="SSM56" s="245"/>
      <c r="SSN56" s="245"/>
      <c r="SSO56" s="245"/>
      <c r="SSP56" s="245"/>
      <c r="SSQ56" s="245"/>
      <c r="SSR56" s="245"/>
      <c r="SSS56" s="245"/>
      <c r="SST56" s="245"/>
      <c r="SSU56" s="245"/>
      <c r="SSV56" s="245"/>
      <c r="SSW56" s="245"/>
      <c r="SSX56" s="245"/>
      <c r="SSY56" s="245"/>
      <c r="SSZ56" s="245"/>
      <c r="STA56" s="245"/>
      <c r="STB56" s="245"/>
      <c r="STC56" s="245"/>
      <c r="STD56" s="245"/>
      <c r="STE56" s="245"/>
      <c r="STF56" s="245"/>
      <c r="STG56" s="245"/>
      <c r="STH56" s="245"/>
      <c r="STI56" s="245"/>
      <c r="STJ56" s="245"/>
      <c r="STK56" s="245"/>
      <c r="STL56" s="245"/>
      <c r="STM56" s="245"/>
      <c r="STN56" s="245"/>
      <c r="STO56" s="245"/>
      <c r="STP56" s="245"/>
      <c r="STQ56" s="245"/>
      <c r="STR56" s="245"/>
      <c r="STS56" s="245"/>
      <c r="STT56" s="245"/>
      <c r="STU56" s="245"/>
      <c r="STV56" s="245"/>
      <c r="STW56" s="245"/>
      <c r="STX56" s="245"/>
      <c r="STY56" s="245"/>
      <c r="STZ56" s="245"/>
      <c r="SUA56" s="245"/>
      <c r="SUB56" s="245"/>
      <c r="SUC56" s="245"/>
      <c r="SUD56" s="245"/>
      <c r="SUE56" s="245"/>
      <c r="SUF56" s="245"/>
      <c r="SUG56" s="245"/>
      <c r="SUH56" s="245"/>
      <c r="SUI56" s="245"/>
      <c r="SUJ56" s="245"/>
      <c r="SUK56" s="245"/>
      <c r="SUL56" s="245"/>
      <c r="SUM56" s="245"/>
      <c r="SUN56" s="245"/>
      <c r="SUO56" s="245"/>
      <c r="SUP56" s="245"/>
      <c r="SUQ56" s="245"/>
      <c r="SUR56" s="245"/>
      <c r="SUS56" s="245"/>
      <c r="SUT56" s="245"/>
      <c r="SUU56" s="245"/>
      <c r="SUV56" s="245"/>
      <c r="SUW56" s="245"/>
      <c r="SUX56" s="245"/>
      <c r="SUY56" s="245"/>
      <c r="SUZ56" s="245"/>
      <c r="SVA56" s="245"/>
      <c r="SVB56" s="245"/>
      <c r="SVC56" s="245"/>
      <c r="SVD56" s="245"/>
      <c r="SVE56" s="245"/>
      <c r="SVF56" s="245"/>
      <c r="SVG56" s="245"/>
      <c r="SVH56" s="245"/>
      <c r="SVI56" s="245"/>
      <c r="SVJ56" s="245"/>
      <c r="SVK56" s="245"/>
      <c r="SVL56" s="245"/>
      <c r="SVM56" s="245"/>
      <c r="SVN56" s="245"/>
      <c r="SVO56" s="245"/>
      <c r="SVP56" s="245"/>
      <c r="SVQ56" s="245"/>
      <c r="SVR56" s="245"/>
      <c r="SVS56" s="245"/>
      <c r="SVT56" s="245"/>
      <c r="SVU56" s="245"/>
      <c r="SVV56" s="245"/>
      <c r="SVW56" s="245"/>
      <c r="SVX56" s="245"/>
      <c r="SVY56" s="245"/>
      <c r="SVZ56" s="245"/>
      <c r="SWA56" s="245"/>
      <c r="SWB56" s="245"/>
      <c r="SWC56" s="245"/>
      <c r="SWD56" s="245"/>
      <c r="SWE56" s="245"/>
      <c r="SWF56" s="245"/>
      <c r="SWG56" s="245"/>
      <c r="SWH56" s="245"/>
      <c r="SWI56" s="245"/>
      <c r="SWJ56" s="245"/>
      <c r="SWK56" s="245"/>
      <c r="SWL56" s="245"/>
      <c r="SWM56" s="245"/>
      <c r="SWN56" s="245"/>
      <c r="SWO56" s="245"/>
      <c r="SWP56" s="245"/>
      <c r="SWQ56" s="245"/>
      <c r="SWR56" s="245"/>
      <c r="SWS56" s="245"/>
      <c r="SWT56" s="245"/>
      <c r="SWU56" s="245"/>
      <c r="SWV56" s="245"/>
      <c r="SWW56" s="245"/>
      <c r="SWX56" s="245"/>
      <c r="SWY56" s="245"/>
      <c r="SWZ56" s="245"/>
      <c r="SXA56" s="245"/>
      <c r="SXB56" s="245"/>
      <c r="SXC56" s="245"/>
      <c r="SXD56" s="245"/>
      <c r="SXE56" s="245"/>
      <c r="SXF56" s="245"/>
      <c r="SXG56" s="245"/>
      <c r="SXH56" s="245"/>
      <c r="SXI56" s="245"/>
      <c r="SXJ56" s="245"/>
      <c r="SXK56" s="245"/>
      <c r="SXL56" s="245"/>
      <c r="SXM56" s="245"/>
      <c r="SXN56" s="245"/>
      <c r="SXO56" s="245"/>
      <c r="SXP56" s="245"/>
      <c r="SXQ56" s="245"/>
      <c r="SXR56" s="245"/>
      <c r="SXS56" s="245"/>
      <c r="SXT56" s="245"/>
      <c r="SXU56" s="245"/>
      <c r="SXV56" s="245"/>
      <c r="SXW56" s="245"/>
      <c r="SXX56" s="245"/>
      <c r="SXY56" s="245"/>
      <c r="SXZ56" s="245"/>
      <c r="SYA56" s="245"/>
      <c r="SYB56" s="245"/>
      <c r="SYC56" s="245"/>
      <c r="SYD56" s="245"/>
      <c r="SYE56" s="245"/>
      <c r="SYF56" s="245"/>
      <c r="SYG56" s="245"/>
      <c r="SYH56" s="245"/>
      <c r="SYI56" s="245"/>
      <c r="SYJ56" s="245"/>
      <c r="SYK56" s="245"/>
      <c r="SYL56" s="245"/>
      <c r="SYM56" s="245"/>
      <c r="SYN56" s="245"/>
      <c r="SYO56" s="245"/>
      <c r="SYP56" s="245"/>
      <c r="SYQ56" s="245"/>
      <c r="SYR56" s="245"/>
      <c r="SYS56" s="245"/>
      <c r="SYT56" s="245"/>
      <c r="SYU56" s="245"/>
      <c r="SYV56" s="245"/>
      <c r="SYW56" s="245"/>
      <c r="SYX56" s="245"/>
      <c r="SYY56" s="245"/>
      <c r="SYZ56" s="245"/>
      <c r="SZA56" s="245"/>
      <c r="SZB56" s="245"/>
      <c r="SZC56" s="245"/>
      <c r="SZD56" s="245"/>
      <c r="SZE56" s="245"/>
      <c r="SZF56" s="245"/>
      <c r="SZG56" s="245"/>
      <c r="SZH56" s="245"/>
      <c r="SZI56" s="245"/>
      <c r="SZJ56" s="245"/>
      <c r="SZK56" s="245"/>
      <c r="SZL56" s="245"/>
      <c r="SZM56" s="245"/>
      <c r="SZN56" s="245"/>
      <c r="SZO56" s="245"/>
      <c r="SZP56" s="245"/>
      <c r="SZQ56" s="245"/>
      <c r="SZR56" s="245"/>
      <c r="SZS56" s="245"/>
      <c r="SZT56" s="245"/>
      <c r="SZU56" s="245"/>
      <c r="SZV56" s="245"/>
      <c r="SZW56" s="245"/>
      <c r="SZX56" s="245"/>
      <c r="SZY56" s="245"/>
      <c r="SZZ56" s="245"/>
      <c r="TAA56" s="245"/>
      <c r="TAB56" s="245"/>
      <c r="TAC56" s="245"/>
      <c r="TAD56" s="245"/>
      <c r="TAE56" s="245"/>
      <c r="TAF56" s="245"/>
      <c r="TAG56" s="245"/>
      <c r="TAH56" s="245"/>
      <c r="TAI56" s="245"/>
      <c r="TAJ56" s="245"/>
      <c r="TAK56" s="245"/>
      <c r="TAL56" s="245"/>
      <c r="TAM56" s="245"/>
      <c r="TAN56" s="245"/>
      <c r="TAO56" s="245"/>
      <c r="TAP56" s="245"/>
      <c r="TAQ56" s="245"/>
      <c r="TAR56" s="245"/>
      <c r="TAS56" s="245"/>
      <c r="TAT56" s="245"/>
      <c r="TAU56" s="245"/>
      <c r="TAV56" s="245"/>
      <c r="TAW56" s="245"/>
      <c r="TAX56" s="245"/>
      <c r="TAY56" s="245"/>
      <c r="TAZ56" s="245"/>
      <c r="TBA56" s="245"/>
      <c r="TBB56" s="245"/>
      <c r="TBC56" s="245"/>
      <c r="TBD56" s="245"/>
      <c r="TBE56" s="245"/>
      <c r="TBF56" s="245"/>
      <c r="TBG56" s="245"/>
      <c r="TBH56" s="245"/>
      <c r="TBI56" s="245"/>
      <c r="TBJ56" s="245"/>
      <c r="TBK56" s="245"/>
      <c r="TBL56" s="245"/>
      <c r="TBM56" s="245"/>
      <c r="TBN56" s="245"/>
      <c r="TBO56" s="245"/>
      <c r="TBP56" s="245"/>
      <c r="TBQ56" s="245"/>
      <c r="TBR56" s="245"/>
      <c r="TBS56" s="245"/>
      <c r="TBT56" s="245"/>
      <c r="TBU56" s="245"/>
      <c r="TBV56" s="245"/>
      <c r="TBW56" s="245"/>
      <c r="TBX56" s="245"/>
      <c r="TBY56" s="245"/>
      <c r="TBZ56" s="245"/>
      <c r="TCA56" s="245"/>
      <c r="TCB56" s="245"/>
      <c r="TCC56" s="245"/>
      <c r="TCD56" s="245"/>
      <c r="TCE56" s="245"/>
      <c r="TCF56" s="245"/>
      <c r="TCG56" s="245"/>
      <c r="TCH56" s="245"/>
      <c r="TCI56" s="245"/>
      <c r="TCJ56" s="245"/>
      <c r="TCK56" s="245"/>
      <c r="TCL56" s="245"/>
      <c r="TCM56" s="245"/>
      <c r="TCN56" s="245"/>
      <c r="TCO56" s="245"/>
      <c r="TCP56" s="245"/>
      <c r="TCQ56" s="245"/>
      <c r="TCR56" s="245"/>
      <c r="TCS56" s="245"/>
      <c r="TCT56" s="245"/>
      <c r="TCU56" s="245"/>
      <c r="TCV56" s="245"/>
      <c r="TCW56" s="245"/>
      <c r="TCX56" s="245"/>
      <c r="TCY56" s="245"/>
      <c r="TCZ56" s="245"/>
      <c r="TDA56" s="245"/>
      <c r="TDB56" s="245"/>
      <c r="TDC56" s="245"/>
      <c r="TDD56" s="245"/>
      <c r="TDE56" s="245"/>
      <c r="TDF56" s="245"/>
      <c r="TDG56" s="245"/>
      <c r="TDH56" s="245"/>
      <c r="TDI56" s="245"/>
      <c r="TDJ56" s="245"/>
      <c r="TDK56" s="245"/>
      <c r="TDL56" s="245"/>
      <c r="TDM56" s="245"/>
      <c r="TDN56" s="245"/>
      <c r="TDO56" s="245"/>
      <c r="TDP56" s="245"/>
      <c r="TDQ56" s="245"/>
      <c r="TDR56" s="245"/>
      <c r="TDS56" s="245"/>
      <c r="TDT56" s="245"/>
      <c r="TDU56" s="245"/>
      <c r="TDV56" s="245"/>
      <c r="TDW56" s="245"/>
      <c r="TDX56" s="245"/>
      <c r="TDY56" s="245"/>
      <c r="TDZ56" s="245"/>
      <c r="TEA56" s="245"/>
      <c r="TEB56" s="245"/>
      <c r="TEC56" s="245"/>
      <c r="TED56" s="245"/>
      <c r="TEE56" s="245"/>
      <c r="TEF56" s="245"/>
      <c r="TEG56" s="245"/>
      <c r="TEH56" s="245"/>
      <c r="TEI56" s="245"/>
      <c r="TEJ56" s="245"/>
      <c r="TEK56" s="245"/>
      <c r="TEL56" s="245"/>
      <c r="TEM56" s="245"/>
      <c r="TEN56" s="245"/>
      <c r="TEO56" s="245"/>
      <c r="TEP56" s="245"/>
      <c r="TEQ56" s="245"/>
      <c r="TER56" s="245"/>
      <c r="TES56" s="245"/>
      <c r="TET56" s="245"/>
      <c r="TEU56" s="245"/>
      <c r="TEV56" s="245"/>
      <c r="TEW56" s="245"/>
      <c r="TEX56" s="245"/>
      <c r="TEY56" s="245"/>
      <c r="TEZ56" s="245"/>
      <c r="TFA56" s="245"/>
      <c r="TFB56" s="245"/>
      <c r="TFC56" s="245"/>
      <c r="TFD56" s="245"/>
      <c r="TFE56" s="245"/>
      <c r="TFF56" s="245"/>
      <c r="TFG56" s="245"/>
      <c r="TFH56" s="245"/>
      <c r="TFI56" s="245"/>
      <c r="TFJ56" s="245"/>
      <c r="TFK56" s="245"/>
      <c r="TFL56" s="245"/>
      <c r="TFM56" s="245"/>
      <c r="TFN56" s="245"/>
      <c r="TFO56" s="245"/>
      <c r="TFP56" s="245"/>
      <c r="TFQ56" s="245"/>
      <c r="TFR56" s="245"/>
      <c r="TFS56" s="245"/>
      <c r="TFT56" s="245"/>
      <c r="TFU56" s="245"/>
      <c r="TFV56" s="245"/>
      <c r="TFW56" s="245"/>
      <c r="TFX56" s="245"/>
      <c r="TFY56" s="245"/>
      <c r="TFZ56" s="245"/>
      <c r="TGA56" s="245"/>
      <c r="TGB56" s="245"/>
      <c r="TGC56" s="245"/>
      <c r="TGD56" s="245"/>
      <c r="TGE56" s="245"/>
      <c r="TGF56" s="245"/>
      <c r="TGG56" s="245"/>
      <c r="TGH56" s="245"/>
      <c r="TGI56" s="245"/>
      <c r="TGJ56" s="245"/>
      <c r="TGK56" s="245"/>
      <c r="TGL56" s="245"/>
      <c r="TGM56" s="245"/>
      <c r="TGN56" s="245"/>
      <c r="TGO56" s="245"/>
      <c r="TGP56" s="245"/>
      <c r="TGQ56" s="245"/>
      <c r="TGR56" s="245"/>
      <c r="TGS56" s="245"/>
      <c r="TGT56" s="245"/>
      <c r="TGU56" s="245"/>
      <c r="TGV56" s="245"/>
      <c r="TGW56" s="245"/>
      <c r="TGX56" s="245"/>
      <c r="TGY56" s="245"/>
      <c r="TGZ56" s="245"/>
      <c r="THA56" s="245"/>
      <c r="THB56" s="245"/>
      <c r="THC56" s="245"/>
      <c r="THD56" s="245"/>
      <c r="THE56" s="245"/>
      <c r="THF56" s="245"/>
      <c r="THG56" s="245"/>
      <c r="THH56" s="245"/>
      <c r="THI56" s="245"/>
      <c r="THJ56" s="245"/>
      <c r="THK56" s="245"/>
      <c r="THL56" s="245"/>
      <c r="THM56" s="245"/>
      <c r="THN56" s="245"/>
      <c r="THO56" s="245"/>
      <c r="THP56" s="245"/>
      <c r="THQ56" s="245"/>
      <c r="THR56" s="245"/>
      <c r="THS56" s="245"/>
      <c r="THT56" s="245"/>
      <c r="THU56" s="245"/>
      <c r="THV56" s="245"/>
      <c r="THW56" s="245"/>
      <c r="THX56" s="245"/>
      <c r="THY56" s="245"/>
      <c r="THZ56" s="245"/>
      <c r="TIA56" s="245"/>
      <c r="TIB56" s="245"/>
      <c r="TIC56" s="245"/>
      <c r="TID56" s="245"/>
      <c r="TIE56" s="245"/>
      <c r="TIF56" s="245"/>
      <c r="TIG56" s="245"/>
      <c r="TIH56" s="245"/>
      <c r="TII56" s="245"/>
      <c r="TIJ56" s="245"/>
      <c r="TIK56" s="245"/>
      <c r="TIL56" s="245"/>
      <c r="TIM56" s="245"/>
      <c r="TIN56" s="245"/>
      <c r="TIO56" s="245"/>
      <c r="TIP56" s="245"/>
      <c r="TIQ56" s="245"/>
      <c r="TIR56" s="245"/>
      <c r="TIS56" s="245"/>
      <c r="TIT56" s="245"/>
      <c r="TIU56" s="245"/>
      <c r="TIV56" s="245"/>
      <c r="TIW56" s="245"/>
      <c r="TIX56" s="245"/>
      <c r="TIY56" s="245"/>
      <c r="TIZ56" s="245"/>
      <c r="TJA56" s="245"/>
      <c r="TJB56" s="245"/>
      <c r="TJC56" s="245"/>
      <c r="TJD56" s="245"/>
      <c r="TJE56" s="245"/>
      <c r="TJF56" s="245"/>
      <c r="TJG56" s="245"/>
      <c r="TJH56" s="245"/>
      <c r="TJI56" s="245"/>
      <c r="TJJ56" s="245"/>
      <c r="TJK56" s="245"/>
      <c r="TJL56" s="245"/>
      <c r="TJM56" s="245"/>
      <c r="TJN56" s="245"/>
      <c r="TJO56" s="245"/>
      <c r="TJP56" s="245"/>
      <c r="TJQ56" s="245"/>
      <c r="TJR56" s="245"/>
      <c r="TJS56" s="245"/>
      <c r="TJT56" s="245"/>
      <c r="TJU56" s="245"/>
      <c r="TJV56" s="245"/>
      <c r="TJW56" s="245"/>
      <c r="TJX56" s="245"/>
      <c r="TJY56" s="245"/>
      <c r="TJZ56" s="245"/>
      <c r="TKA56" s="245"/>
      <c r="TKB56" s="245"/>
      <c r="TKC56" s="245"/>
      <c r="TKD56" s="245"/>
      <c r="TKE56" s="245"/>
      <c r="TKF56" s="245"/>
      <c r="TKG56" s="245"/>
      <c r="TKH56" s="245"/>
      <c r="TKI56" s="245"/>
      <c r="TKJ56" s="245"/>
      <c r="TKK56" s="245"/>
      <c r="TKL56" s="245"/>
      <c r="TKM56" s="245"/>
      <c r="TKN56" s="245"/>
      <c r="TKO56" s="245"/>
      <c r="TKP56" s="245"/>
      <c r="TKQ56" s="245"/>
      <c r="TKR56" s="245"/>
      <c r="TKS56" s="245"/>
      <c r="TKT56" s="245"/>
      <c r="TKU56" s="245"/>
      <c r="TKV56" s="245"/>
      <c r="TKW56" s="245"/>
      <c r="TKX56" s="245"/>
      <c r="TKY56" s="245"/>
      <c r="TKZ56" s="245"/>
      <c r="TLA56" s="245"/>
      <c r="TLB56" s="245"/>
      <c r="TLC56" s="245"/>
      <c r="TLD56" s="245"/>
      <c r="TLE56" s="245"/>
      <c r="TLF56" s="245"/>
      <c r="TLG56" s="245"/>
      <c r="TLH56" s="245"/>
      <c r="TLI56" s="245"/>
      <c r="TLJ56" s="245"/>
      <c r="TLK56" s="245"/>
      <c r="TLL56" s="245"/>
      <c r="TLM56" s="245"/>
      <c r="TLN56" s="245"/>
      <c r="TLO56" s="245"/>
      <c r="TLP56" s="245"/>
      <c r="TLQ56" s="245"/>
      <c r="TLR56" s="245"/>
      <c r="TLS56" s="245"/>
      <c r="TLT56" s="245"/>
      <c r="TLU56" s="245"/>
      <c r="TLV56" s="245"/>
      <c r="TLW56" s="245"/>
      <c r="TLX56" s="245"/>
      <c r="TLY56" s="245"/>
      <c r="TLZ56" s="245"/>
      <c r="TMA56" s="245"/>
      <c r="TMB56" s="245"/>
      <c r="TMC56" s="245"/>
      <c r="TMD56" s="245"/>
      <c r="TME56" s="245"/>
      <c r="TMF56" s="245"/>
      <c r="TMG56" s="245"/>
      <c r="TMH56" s="245"/>
      <c r="TMI56" s="245"/>
      <c r="TMJ56" s="245"/>
      <c r="TMK56" s="245"/>
      <c r="TML56" s="245"/>
      <c r="TMM56" s="245"/>
      <c r="TMN56" s="245"/>
      <c r="TMO56" s="245"/>
      <c r="TMP56" s="245"/>
      <c r="TMQ56" s="245"/>
      <c r="TMR56" s="245"/>
      <c r="TMS56" s="245"/>
      <c r="TMT56" s="245"/>
      <c r="TMU56" s="245"/>
      <c r="TMV56" s="245"/>
      <c r="TMW56" s="245"/>
      <c r="TMX56" s="245"/>
      <c r="TMY56" s="245"/>
      <c r="TMZ56" s="245"/>
      <c r="TNA56" s="245"/>
      <c r="TNB56" s="245"/>
      <c r="TNC56" s="245"/>
      <c r="TND56" s="245"/>
      <c r="TNE56" s="245"/>
      <c r="TNF56" s="245"/>
      <c r="TNG56" s="245"/>
      <c r="TNH56" s="245"/>
      <c r="TNI56" s="245"/>
      <c r="TNJ56" s="245"/>
      <c r="TNK56" s="245"/>
      <c r="TNL56" s="245"/>
      <c r="TNM56" s="245"/>
      <c r="TNN56" s="245"/>
      <c r="TNO56" s="245"/>
      <c r="TNP56" s="245"/>
      <c r="TNQ56" s="245"/>
      <c r="TNR56" s="245"/>
      <c r="TNS56" s="245"/>
      <c r="TNT56" s="245"/>
      <c r="TNU56" s="245"/>
      <c r="TNV56" s="245"/>
      <c r="TNW56" s="245"/>
      <c r="TNX56" s="245"/>
      <c r="TNY56" s="245"/>
      <c r="TNZ56" s="245"/>
      <c r="TOA56" s="245"/>
      <c r="TOB56" s="245"/>
      <c r="TOC56" s="245"/>
      <c r="TOD56" s="245"/>
      <c r="TOE56" s="245"/>
      <c r="TOF56" s="245"/>
      <c r="TOG56" s="245"/>
      <c r="TOH56" s="245"/>
      <c r="TOI56" s="245"/>
      <c r="TOJ56" s="245"/>
      <c r="TOK56" s="245"/>
      <c r="TOL56" s="245"/>
      <c r="TOM56" s="245"/>
      <c r="TON56" s="245"/>
      <c r="TOO56" s="245"/>
      <c r="TOP56" s="245"/>
      <c r="TOQ56" s="245"/>
      <c r="TOR56" s="245"/>
      <c r="TOS56" s="245"/>
      <c r="TOT56" s="245"/>
      <c r="TOU56" s="245"/>
      <c r="TOV56" s="245"/>
      <c r="TOW56" s="245"/>
      <c r="TOX56" s="245"/>
      <c r="TOY56" s="245"/>
      <c r="TOZ56" s="245"/>
      <c r="TPA56" s="245"/>
      <c r="TPB56" s="245"/>
      <c r="TPC56" s="245"/>
      <c r="TPD56" s="245"/>
      <c r="TPE56" s="245"/>
      <c r="TPF56" s="245"/>
      <c r="TPG56" s="245"/>
      <c r="TPH56" s="245"/>
      <c r="TPI56" s="245"/>
      <c r="TPJ56" s="245"/>
      <c r="TPK56" s="245"/>
      <c r="TPL56" s="245"/>
      <c r="TPM56" s="245"/>
      <c r="TPN56" s="245"/>
      <c r="TPO56" s="245"/>
      <c r="TPP56" s="245"/>
      <c r="TPQ56" s="245"/>
      <c r="TPR56" s="245"/>
      <c r="TPS56" s="245"/>
      <c r="TPT56" s="245"/>
      <c r="TPU56" s="245"/>
      <c r="TPV56" s="245"/>
      <c r="TPW56" s="245"/>
      <c r="TPX56" s="245"/>
      <c r="TPY56" s="245"/>
      <c r="TPZ56" s="245"/>
      <c r="TQA56" s="245"/>
      <c r="TQB56" s="245"/>
      <c r="TQC56" s="245"/>
      <c r="TQD56" s="245"/>
      <c r="TQE56" s="245"/>
      <c r="TQF56" s="245"/>
      <c r="TQG56" s="245"/>
      <c r="TQH56" s="245"/>
      <c r="TQI56" s="245"/>
      <c r="TQJ56" s="245"/>
      <c r="TQK56" s="245"/>
      <c r="TQL56" s="245"/>
      <c r="TQM56" s="245"/>
      <c r="TQN56" s="245"/>
      <c r="TQO56" s="245"/>
      <c r="TQP56" s="245"/>
      <c r="TQQ56" s="245"/>
      <c r="TQR56" s="245"/>
      <c r="TQS56" s="245"/>
      <c r="TQT56" s="245"/>
      <c r="TQU56" s="245"/>
      <c r="TQV56" s="245"/>
      <c r="TQW56" s="245"/>
      <c r="TQX56" s="245"/>
      <c r="TQY56" s="245"/>
      <c r="TQZ56" s="245"/>
      <c r="TRA56" s="245"/>
      <c r="TRB56" s="245"/>
      <c r="TRC56" s="245"/>
      <c r="TRD56" s="245"/>
      <c r="TRE56" s="245"/>
      <c r="TRF56" s="245"/>
      <c r="TRG56" s="245"/>
      <c r="TRH56" s="245"/>
      <c r="TRI56" s="245"/>
      <c r="TRJ56" s="245"/>
      <c r="TRK56" s="245"/>
      <c r="TRL56" s="245"/>
      <c r="TRM56" s="245"/>
      <c r="TRN56" s="245"/>
      <c r="TRO56" s="245"/>
      <c r="TRP56" s="245"/>
      <c r="TRQ56" s="245"/>
      <c r="TRR56" s="245"/>
      <c r="TRS56" s="245"/>
      <c r="TRT56" s="245"/>
      <c r="TRU56" s="245"/>
      <c r="TRV56" s="245"/>
      <c r="TRW56" s="245"/>
      <c r="TRX56" s="245"/>
      <c r="TRY56" s="245"/>
      <c r="TRZ56" s="245"/>
      <c r="TSA56" s="245"/>
      <c r="TSB56" s="245"/>
      <c r="TSC56" s="245"/>
      <c r="TSD56" s="245"/>
      <c r="TSE56" s="245"/>
      <c r="TSF56" s="245"/>
      <c r="TSG56" s="245"/>
      <c r="TSH56" s="245"/>
      <c r="TSI56" s="245"/>
      <c r="TSJ56" s="245"/>
      <c r="TSK56" s="245"/>
      <c r="TSL56" s="245"/>
      <c r="TSM56" s="245"/>
      <c r="TSN56" s="245"/>
      <c r="TSO56" s="245"/>
      <c r="TSP56" s="245"/>
      <c r="TSQ56" s="245"/>
      <c r="TSR56" s="245"/>
      <c r="TSS56" s="245"/>
      <c r="TST56" s="245"/>
      <c r="TSU56" s="245"/>
      <c r="TSV56" s="245"/>
      <c r="TSW56" s="245"/>
      <c r="TSX56" s="245"/>
      <c r="TSY56" s="245"/>
      <c r="TSZ56" s="245"/>
      <c r="TTA56" s="245"/>
      <c r="TTB56" s="245"/>
      <c r="TTC56" s="245"/>
      <c r="TTD56" s="245"/>
      <c r="TTE56" s="245"/>
      <c r="TTF56" s="245"/>
      <c r="TTG56" s="245"/>
      <c r="TTH56" s="245"/>
      <c r="TTI56" s="245"/>
      <c r="TTJ56" s="245"/>
      <c r="TTK56" s="245"/>
      <c r="TTL56" s="245"/>
      <c r="TTM56" s="245"/>
      <c r="TTN56" s="245"/>
      <c r="TTO56" s="245"/>
      <c r="TTP56" s="245"/>
      <c r="TTQ56" s="245"/>
      <c r="TTR56" s="245"/>
      <c r="TTS56" s="245"/>
      <c r="TTT56" s="245"/>
      <c r="TTU56" s="245"/>
      <c r="TTV56" s="245"/>
      <c r="TTW56" s="245"/>
      <c r="TTX56" s="245"/>
      <c r="TTY56" s="245"/>
      <c r="TTZ56" s="245"/>
      <c r="TUA56" s="245"/>
      <c r="TUB56" s="245"/>
      <c r="TUC56" s="245"/>
      <c r="TUD56" s="245"/>
      <c r="TUE56" s="245"/>
      <c r="TUF56" s="245"/>
      <c r="TUG56" s="245"/>
      <c r="TUH56" s="245"/>
      <c r="TUI56" s="245"/>
      <c r="TUJ56" s="245"/>
      <c r="TUK56" s="245"/>
      <c r="TUL56" s="245"/>
      <c r="TUM56" s="245"/>
      <c r="TUN56" s="245"/>
      <c r="TUO56" s="245"/>
      <c r="TUP56" s="245"/>
      <c r="TUQ56" s="245"/>
      <c r="TUR56" s="245"/>
      <c r="TUS56" s="245"/>
      <c r="TUT56" s="245"/>
      <c r="TUU56" s="245"/>
      <c r="TUV56" s="245"/>
      <c r="TUW56" s="245"/>
      <c r="TUX56" s="245"/>
      <c r="TUY56" s="245"/>
      <c r="TUZ56" s="245"/>
      <c r="TVA56" s="245"/>
      <c r="TVB56" s="245"/>
      <c r="TVC56" s="245"/>
      <c r="TVD56" s="245"/>
      <c r="TVE56" s="245"/>
      <c r="TVF56" s="245"/>
      <c r="TVG56" s="245"/>
      <c r="TVH56" s="245"/>
      <c r="TVI56" s="245"/>
      <c r="TVJ56" s="245"/>
      <c r="TVK56" s="245"/>
      <c r="TVL56" s="245"/>
      <c r="TVM56" s="245"/>
      <c r="TVN56" s="245"/>
      <c r="TVO56" s="245"/>
      <c r="TVP56" s="245"/>
      <c r="TVQ56" s="245"/>
      <c r="TVR56" s="245"/>
      <c r="TVS56" s="245"/>
      <c r="TVT56" s="245"/>
      <c r="TVU56" s="245"/>
      <c r="TVV56" s="245"/>
      <c r="TVW56" s="245"/>
      <c r="TVX56" s="245"/>
      <c r="TVY56" s="245"/>
      <c r="TVZ56" s="245"/>
      <c r="TWA56" s="245"/>
      <c r="TWB56" s="245"/>
      <c r="TWC56" s="245"/>
      <c r="TWD56" s="245"/>
      <c r="TWE56" s="245"/>
      <c r="TWF56" s="245"/>
      <c r="TWG56" s="245"/>
      <c r="TWH56" s="245"/>
      <c r="TWI56" s="245"/>
      <c r="TWJ56" s="245"/>
      <c r="TWK56" s="245"/>
      <c r="TWL56" s="245"/>
      <c r="TWM56" s="245"/>
      <c r="TWN56" s="245"/>
      <c r="TWO56" s="245"/>
      <c r="TWP56" s="245"/>
      <c r="TWQ56" s="245"/>
      <c r="TWR56" s="245"/>
      <c r="TWS56" s="245"/>
      <c r="TWT56" s="245"/>
      <c r="TWU56" s="245"/>
      <c r="TWV56" s="245"/>
      <c r="TWW56" s="245"/>
      <c r="TWX56" s="245"/>
      <c r="TWY56" s="245"/>
      <c r="TWZ56" s="245"/>
      <c r="TXA56" s="245"/>
      <c r="TXB56" s="245"/>
      <c r="TXC56" s="245"/>
      <c r="TXD56" s="245"/>
      <c r="TXE56" s="245"/>
      <c r="TXF56" s="245"/>
      <c r="TXG56" s="245"/>
      <c r="TXH56" s="245"/>
      <c r="TXI56" s="245"/>
      <c r="TXJ56" s="245"/>
      <c r="TXK56" s="245"/>
      <c r="TXL56" s="245"/>
      <c r="TXM56" s="245"/>
      <c r="TXN56" s="245"/>
      <c r="TXO56" s="245"/>
      <c r="TXP56" s="245"/>
      <c r="TXQ56" s="245"/>
      <c r="TXR56" s="245"/>
      <c r="TXS56" s="245"/>
      <c r="TXT56" s="245"/>
      <c r="TXU56" s="245"/>
      <c r="TXV56" s="245"/>
      <c r="TXW56" s="245"/>
      <c r="TXX56" s="245"/>
      <c r="TXY56" s="245"/>
      <c r="TXZ56" s="245"/>
      <c r="TYA56" s="245"/>
      <c r="TYB56" s="245"/>
      <c r="TYC56" s="245"/>
      <c r="TYD56" s="245"/>
      <c r="TYE56" s="245"/>
      <c r="TYF56" s="245"/>
      <c r="TYG56" s="245"/>
      <c r="TYH56" s="245"/>
      <c r="TYI56" s="245"/>
      <c r="TYJ56" s="245"/>
      <c r="TYK56" s="245"/>
      <c r="TYL56" s="245"/>
      <c r="TYM56" s="245"/>
      <c r="TYN56" s="245"/>
      <c r="TYO56" s="245"/>
      <c r="TYP56" s="245"/>
      <c r="TYQ56" s="245"/>
      <c r="TYR56" s="245"/>
      <c r="TYS56" s="245"/>
      <c r="TYT56" s="245"/>
      <c r="TYU56" s="245"/>
      <c r="TYV56" s="245"/>
      <c r="TYW56" s="245"/>
      <c r="TYX56" s="245"/>
      <c r="TYY56" s="245"/>
      <c r="TYZ56" s="245"/>
      <c r="TZA56" s="245"/>
      <c r="TZB56" s="245"/>
      <c r="TZC56" s="245"/>
      <c r="TZD56" s="245"/>
      <c r="TZE56" s="245"/>
      <c r="TZF56" s="245"/>
      <c r="TZG56" s="245"/>
      <c r="TZH56" s="245"/>
      <c r="TZI56" s="245"/>
      <c r="TZJ56" s="245"/>
      <c r="TZK56" s="245"/>
      <c r="TZL56" s="245"/>
      <c r="TZM56" s="245"/>
      <c r="TZN56" s="245"/>
      <c r="TZO56" s="245"/>
      <c r="TZP56" s="245"/>
      <c r="TZQ56" s="245"/>
      <c r="TZR56" s="245"/>
      <c r="TZS56" s="245"/>
      <c r="TZT56" s="245"/>
      <c r="TZU56" s="245"/>
      <c r="TZV56" s="245"/>
      <c r="TZW56" s="245"/>
      <c r="TZX56" s="245"/>
      <c r="TZY56" s="245"/>
      <c r="TZZ56" s="245"/>
      <c r="UAA56" s="245"/>
      <c r="UAB56" s="245"/>
      <c r="UAC56" s="245"/>
      <c r="UAD56" s="245"/>
      <c r="UAE56" s="245"/>
      <c r="UAF56" s="245"/>
      <c r="UAG56" s="245"/>
      <c r="UAH56" s="245"/>
      <c r="UAI56" s="245"/>
      <c r="UAJ56" s="245"/>
      <c r="UAK56" s="245"/>
      <c r="UAL56" s="245"/>
      <c r="UAM56" s="245"/>
      <c r="UAN56" s="245"/>
      <c r="UAO56" s="245"/>
      <c r="UAP56" s="245"/>
      <c r="UAQ56" s="245"/>
      <c r="UAR56" s="245"/>
      <c r="UAS56" s="245"/>
      <c r="UAT56" s="245"/>
      <c r="UAU56" s="245"/>
      <c r="UAV56" s="245"/>
      <c r="UAW56" s="245"/>
      <c r="UAX56" s="245"/>
      <c r="UAY56" s="245"/>
      <c r="UAZ56" s="245"/>
      <c r="UBA56" s="245"/>
      <c r="UBB56" s="245"/>
      <c r="UBC56" s="245"/>
      <c r="UBD56" s="245"/>
      <c r="UBE56" s="245"/>
      <c r="UBF56" s="245"/>
      <c r="UBG56" s="245"/>
      <c r="UBH56" s="245"/>
      <c r="UBI56" s="245"/>
      <c r="UBJ56" s="245"/>
      <c r="UBK56" s="245"/>
      <c r="UBL56" s="245"/>
      <c r="UBM56" s="245"/>
      <c r="UBN56" s="245"/>
      <c r="UBO56" s="245"/>
      <c r="UBP56" s="245"/>
      <c r="UBQ56" s="245"/>
      <c r="UBR56" s="245"/>
      <c r="UBS56" s="245"/>
      <c r="UBT56" s="245"/>
      <c r="UBU56" s="245"/>
      <c r="UBV56" s="245"/>
      <c r="UBW56" s="245"/>
      <c r="UBX56" s="245"/>
      <c r="UBY56" s="245"/>
      <c r="UBZ56" s="245"/>
      <c r="UCA56" s="245"/>
      <c r="UCB56" s="245"/>
      <c r="UCC56" s="245"/>
      <c r="UCD56" s="245"/>
      <c r="UCE56" s="245"/>
      <c r="UCF56" s="245"/>
      <c r="UCG56" s="245"/>
      <c r="UCH56" s="245"/>
      <c r="UCI56" s="245"/>
      <c r="UCJ56" s="245"/>
      <c r="UCK56" s="245"/>
      <c r="UCL56" s="245"/>
      <c r="UCM56" s="245"/>
      <c r="UCN56" s="245"/>
      <c r="UCO56" s="245"/>
      <c r="UCP56" s="245"/>
      <c r="UCQ56" s="245"/>
      <c r="UCR56" s="245"/>
      <c r="UCS56" s="245"/>
      <c r="UCT56" s="245"/>
      <c r="UCU56" s="245"/>
      <c r="UCV56" s="245"/>
      <c r="UCW56" s="245"/>
      <c r="UCX56" s="245"/>
      <c r="UCY56" s="245"/>
      <c r="UCZ56" s="245"/>
      <c r="UDA56" s="245"/>
      <c r="UDB56" s="245"/>
      <c r="UDC56" s="245"/>
      <c r="UDD56" s="245"/>
      <c r="UDE56" s="245"/>
      <c r="UDF56" s="245"/>
      <c r="UDG56" s="245"/>
      <c r="UDH56" s="245"/>
      <c r="UDI56" s="245"/>
      <c r="UDJ56" s="245"/>
      <c r="UDK56" s="245"/>
      <c r="UDL56" s="245"/>
      <c r="UDM56" s="245"/>
      <c r="UDN56" s="245"/>
      <c r="UDO56" s="245"/>
      <c r="UDP56" s="245"/>
      <c r="UDQ56" s="245"/>
      <c r="UDR56" s="245"/>
      <c r="UDS56" s="245"/>
      <c r="UDT56" s="245"/>
      <c r="UDU56" s="245"/>
      <c r="UDV56" s="245"/>
      <c r="UDW56" s="245"/>
      <c r="UDX56" s="245"/>
      <c r="UDY56" s="245"/>
      <c r="UDZ56" s="245"/>
      <c r="UEA56" s="245"/>
      <c r="UEB56" s="245"/>
      <c r="UEC56" s="245"/>
      <c r="UED56" s="245"/>
      <c r="UEE56" s="245"/>
      <c r="UEF56" s="245"/>
      <c r="UEG56" s="245"/>
      <c r="UEH56" s="245"/>
      <c r="UEI56" s="245"/>
      <c r="UEJ56" s="245"/>
      <c r="UEK56" s="245"/>
      <c r="UEL56" s="245"/>
      <c r="UEM56" s="245"/>
      <c r="UEN56" s="245"/>
      <c r="UEO56" s="245"/>
      <c r="UEP56" s="245"/>
      <c r="UEQ56" s="245"/>
      <c r="UER56" s="245"/>
      <c r="UES56" s="245"/>
      <c r="UET56" s="245"/>
      <c r="UEU56" s="245"/>
      <c r="UEV56" s="245"/>
      <c r="UEW56" s="245"/>
      <c r="UEX56" s="245"/>
      <c r="UEY56" s="245"/>
      <c r="UEZ56" s="245"/>
      <c r="UFA56" s="245"/>
      <c r="UFB56" s="245"/>
      <c r="UFC56" s="245"/>
      <c r="UFD56" s="245"/>
      <c r="UFE56" s="245"/>
      <c r="UFF56" s="245"/>
      <c r="UFG56" s="245"/>
      <c r="UFH56" s="245"/>
      <c r="UFI56" s="245"/>
      <c r="UFJ56" s="245"/>
      <c r="UFK56" s="245"/>
      <c r="UFL56" s="245"/>
      <c r="UFM56" s="245"/>
      <c r="UFN56" s="245"/>
      <c r="UFO56" s="245"/>
      <c r="UFP56" s="245"/>
      <c r="UFQ56" s="245"/>
      <c r="UFR56" s="245"/>
      <c r="UFS56" s="245"/>
      <c r="UFT56" s="245"/>
      <c r="UFU56" s="245"/>
      <c r="UFV56" s="245"/>
      <c r="UFW56" s="245"/>
      <c r="UFX56" s="245"/>
      <c r="UFY56" s="245"/>
      <c r="UFZ56" s="245"/>
      <c r="UGA56" s="245"/>
      <c r="UGB56" s="245"/>
      <c r="UGC56" s="245"/>
      <c r="UGD56" s="245"/>
      <c r="UGE56" s="245"/>
      <c r="UGF56" s="245"/>
      <c r="UGG56" s="245"/>
      <c r="UGH56" s="245"/>
      <c r="UGI56" s="245"/>
      <c r="UGJ56" s="245"/>
      <c r="UGK56" s="245"/>
      <c r="UGL56" s="245"/>
      <c r="UGM56" s="245"/>
      <c r="UGN56" s="245"/>
      <c r="UGO56" s="245"/>
      <c r="UGP56" s="245"/>
      <c r="UGQ56" s="245"/>
      <c r="UGR56" s="245"/>
      <c r="UGS56" s="245"/>
      <c r="UGT56" s="245"/>
      <c r="UGU56" s="245"/>
      <c r="UGV56" s="245"/>
      <c r="UGW56" s="245"/>
      <c r="UGX56" s="245"/>
      <c r="UGY56" s="245"/>
      <c r="UGZ56" s="245"/>
      <c r="UHA56" s="245"/>
      <c r="UHB56" s="245"/>
      <c r="UHC56" s="245"/>
      <c r="UHD56" s="245"/>
      <c r="UHE56" s="245"/>
      <c r="UHF56" s="245"/>
      <c r="UHG56" s="245"/>
      <c r="UHH56" s="245"/>
      <c r="UHI56" s="245"/>
      <c r="UHJ56" s="245"/>
      <c r="UHK56" s="245"/>
      <c r="UHL56" s="245"/>
      <c r="UHM56" s="245"/>
      <c r="UHN56" s="245"/>
      <c r="UHO56" s="245"/>
      <c r="UHP56" s="245"/>
      <c r="UHQ56" s="245"/>
      <c r="UHR56" s="245"/>
      <c r="UHS56" s="245"/>
      <c r="UHT56" s="245"/>
      <c r="UHU56" s="245"/>
      <c r="UHV56" s="245"/>
      <c r="UHW56" s="245"/>
      <c r="UHX56" s="245"/>
      <c r="UHY56" s="245"/>
      <c r="UHZ56" s="245"/>
      <c r="UIA56" s="245"/>
      <c r="UIB56" s="245"/>
      <c r="UIC56" s="245"/>
      <c r="UID56" s="245"/>
      <c r="UIE56" s="245"/>
      <c r="UIF56" s="245"/>
      <c r="UIG56" s="245"/>
      <c r="UIH56" s="245"/>
      <c r="UII56" s="245"/>
      <c r="UIJ56" s="245"/>
      <c r="UIK56" s="245"/>
      <c r="UIL56" s="245"/>
      <c r="UIM56" s="245"/>
      <c r="UIN56" s="245"/>
      <c r="UIO56" s="245"/>
      <c r="UIP56" s="245"/>
      <c r="UIQ56" s="245"/>
      <c r="UIR56" s="245"/>
      <c r="UIS56" s="245"/>
      <c r="UIT56" s="245"/>
      <c r="UIU56" s="245"/>
      <c r="UIV56" s="245"/>
      <c r="UIW56" s="245"/>
      <c r="UIX56" s="245"/>
      <c r="UIY56" s="245"/>
      <c r="UIZ56" s="245"/>
      <c r="UJA56" s="245"/>
      <c r="UJB56" s="245"/>
      <c r="UJC56" s="245"/>
      <c r="UJD56" s="245"/>
      <c r="UJE56" s="245"/>
      <c r="UJF56" s="245"/>
      <c r="UJG56" s="245"/>
      <c r="UJH56" s="245"/>
      <c r="UJI56" s="245"/>
      <c r="UJJ56" s="245"/>
      <c r="UJK56" s="245"/>
      <c r="UJL56" s="245"/>
      <c r="UJM56" s="245"/>
      <c r="UJN56" s="245"/>
      <c r="UJO56" s="245"/>
      <c r="UJP56" s="245"/>
      <c r="UJQ56" s="245"/>
      <c r="UJR56" s="245"/>
      <c r="UJS56" s="245"/>
      <c r="UJT56" s="245"/>
      <c r="UJU56" s="245"/>
      <c r="UJV56" s="245"/>
      <c r="UJW56" s="245"/>
      <c r="UJX56" s="245"/>
      <c r="UJY56" s="245"/>
      <c r="UJZ56" s="245"/>
      <c r="UKA56" s="245"/>
      <c r="UKB56" s="245"/>
      <c r="UKC56" s="245"/>
      <c r="UKD56" s="245"/>
      <c r="UKE56" s="245"/>
      <c r="UKF56" s="245"/>
      <c r="UKG56" s="245"/>
      <c r="UKH56" s="245"/>
      <c r="UKI56" s="245"/>
      <c r="UKJ56" s="245"/>
      <c r="UKK56" s="245"/>
      <c r="UKL56" s="245"/>
      <c r="UKM56" s="245"/>
      <c r="UKN56" s="245"/>
      <c r="UKO56" s="245"/>
      <c r="UKP56" s="245"/>
      <c r="UKQ56" s="245"/>
      <c r="UKR56" s="245"/>
      <c r="UKS56" s="245"/>
      <c r="UKT56" s="245"/>
      <c r="UKU56" s="245"/>
      <c r="UKV56" s="245"/>
      <c r="UKW56" s="245"/>
      <c r="UKX56" s="245"/>
      <c r="UKY56" s="245"/>
      <c r="UKZ56" s="245"/>
      <c r="ULA56" s="245"/>
      <c r="ULB56" s="245"/>
      <c r="ULC56" s="245"/>
      <c r="ULD56" s="245"/>
      <c r="ULE56" s="245"/>
      <c r="ULF56" s="245"/>
      <c r="ULG56" s="245"/>
      <c r="ULH56" s="245"/>
      <c r="ULI56" s="245"/>
      <c r="ULJ56" s="245"/>
      <c r="ULK56" s="245"/>
      <c r="ULL56" s="245"/>
      <c r="ULM56" s="245"/>
      <c r="ULN56" s="245"/>
      <c r="ULO56" s="245"/>
      <c r="ULP56" s="245"/>
      <c r="ULQ56" s="245"/>
      <c r="ULR56" s="245"/>
      <c r="ULS56" s="245"/>
      <c r="ULT56" s="245"/>
      <c r="ULU56" s="245"/>
      <c r="ULV56" s="245"/>
      <c r="ULW56" s="245"/>
      <c r="ULX56" s="245"/>
      <c r="ULY56" s="245"/>
      <c r="ULZ56" s="245"/>
      <c r="UMA56" s="245"/>
      <c r="UMB56" s="245"/>
      <c r="UMC56" s="245"/>
      <c r="UMD56" s="245"/>
      <c r="UME56" s="245"/>
      <c r="UMF56" s="245"/>
      <c r="UMG56" s="245"/>
      <c r="UMH56" s="245"/>
      <c r="UMI56" s="245"/>
      <c r="UMJ56" s="245"/>
      <c r="UMK56" s="245"/>
      <c r="UML56" s="245"/>
      <c r="UMM56" s="245"/>
      <c r="UMN56" s="245"/>
      <c r="UMO56" s="245"/>
      <c r="UMP56" s="245"/>
      <c r="UMQ56" s="245"/>
      <c r="UMR56" s="245"/>
      <c r="UMS56" s="245"/>
      <c r="UMT56" s="245"/>
      <c r="UMU56" s="245"/>
      <c r="UMV56" s="245"/>
      <c r="UMW56" s="245"/>
      <c r="UMX56" s="245"/>
      <c r="UMY56" s="245"/>
      <c r="UMZ56" s="245"/>
      <c r="UNA56" s="245"/>
      <c r="UNB56" s="245"/>
      <c r="UNC56" s="245"/>
      <c r="UND56" s="245"/>
      <c r="UNE56" s="245"/>
      <c r="UNF56" s="245"/>
      <c r="UNG56" s="245"/>
      <c r="UNH56" s="245"/>
      <c r="UNI56" s="245"/>
      <c r="UNJ56" s="245"/>
      <c r="UNK56" s="245"/>
      <c r="UNL56" s="245"/>
      <c r="UNM56" s="245"/>
      <c r="UNN56" s="245"/>
      <c r="UNO56" s="245"/>
      <c r="UNP56" s="245"/>
      <c r="UNQ56" s="245"/>
      <c r="UNR56" s="245"/>
      <c r="UNS56" s="245"/>
      <c r="UNT56" s="245"/>
      <c r="UNU56" s="245"/>
      <c r="UNV56" s="245"/>
      <c r="UNW56" s="245"/>
      <c r="UNX56" s="245"/>
      <c r="UNY56" s="245"/>
      <c r="UNZ56" s="245"/>
      <c r="UOA56" s="245"/>
      <c r="UOB56" s="245"/>
      <c r="UOC56" s="245"/>
      <c r="UOD56" s="245"/>
      <c r="UOE56" s="245"/>
      <c r="UOF56" s="245"/>
      <c r="UOG56" s="245"/>
      <c r="UOH56" s="245"/>
      <c r="UOI56" s="245"/>
      <c r="UOJ56" s="245"/>
      <c r="UOK56" s="245"/>
      <c r="UOL56" s="245"/>
      <c r="UOM56" s="245"/>
      <c r="UON56" s="245"/>
      <c r="UOO56" s="245"/>
      <c r="UOP56" s="245"/>
      <c r="UOQ56" s="245"/>
      <c r="UOR56" s="245"/>
      <c r="UOS56" s="245"/>
      <c r="UOT56" s="245"/>
      <c r="UOU56" s="245"/>
      <c r="UOV56" s="245"/>
      <c r="UOW56" s="245"/>
      <c r="UOX56" s="245"/>
      <c r="UOY56" s="245"/>
      <c r="UOZ56" s="245"/>
      <c r="UPA56" s="245"/>
      <c r="UPB56" s="245"/>
      <c r="UPC56" s="245"/>
      <c r="UPD56" s="245"/>
      <c r="UPE56" s="245"/>
      <c r="UPF56" s="245"/>
      <c r="UPG56" s="245"/>
      <c r="UPH56" s="245"/>
      <c r="UPI56" s="245"/>
      <c r="UPJ56" s="245"/>
      <c r="UPK56" s="245"/>
      <c r="UPL56" s="245"/>
      <c r="UPM56" s="245"/>
      <c r="UPN56" s="245"/>
      <c r="UPO56" s="245"/>
      <c r="UPP56" s="245"/>
      <c r="UPQ56" s="245"/>
      <c r="UPR56" s="245"/>
      <c r="UPS56" s="245"/>
      <c r="UPT56" s="245"/>
      <c r="UPU56" s="245"/>
      <c r="UPV56" s="245"/>
      <c r="UPW56" s="245"/>
      <c r="UPX56" s="245"/>
      <c r="UPY56" s="245"/>
      <c r="UPZ56" s="245"/>
      <c r="UQA56" s="245"/>
      <c r="UQB56" s="245"/>
      <c r="UQC56" s="245"/>
      <c r="UQD56" s="245"/>
      <c r="UQE56" s="245"/>
      <c r="UQF56" s="245"/>
      <c r="UQG56" s="245"/>
      <c r="UQH56" s="245"/>
      <c r="UQI56" s="245"/>
      <c r="UQJ56" s="245"/>
      <c r="UQK56" s="245"/>
      <c r="UQL56" s="245"/>
      <c r="UQM56" s="245"/>
      <c r="UQN56" s="245"/>
      <c r="UQO56" s="245"/>
      <c r="UQP56" s="245"/>
      <c r="UQQ56" s="245"/>
      <c r="UQR56" s="245"/>
      <c r="UQS56" s="245"/>
      <c r="UQT56" s="245"/>
      <c r="UQU56" s="245"/>
      <c r="UQV56" s="245"/>
      <c r="UQW56" s="245"/>
      <c r="UQX56" s="245"/>
      <c r="UQY56" s="245"/>
      <c r="UQZ56" s="245"/>
      <c r="URA56" s="245"/>
      <c r="URB56" s="245"/>
      <c r="URC56" s="245"/>
      <c r="URD56" s="245"/>
      <c r="URE56" s="245"/>
      <c r="URF56" s="245"/>
      <c r="URG56" s="245"/>
      <c r="URH56" s="245"/>
      <c r="URI56" s="245"/>
      <c r="URJ56" s="245"/>
      <c r="URK56" s="245"/>
      <c r="URL56" s="245"/>
      <c r="URM56" s="245"/>
      <c r="URN56" s="245"/>
      <c r="URO56" s="245"/>
      <c r="URP56" s="245"/>
      <c r="URQ56" s="245"/>
      <c r="URR56" s="245"/>
      <c r="URS56" s="245"/>
      <c r="URT56" s="245"/>
      <c r="URU56" s="245"/>
      <c r="URV56" s="245"/>
      <c r="URW56" s="245"/>
      <c r="URX56" s="245"/>
      <c r="URY56" s="245"/>
      <c r="URZ56" s="245"/>
      <c r="USA56" s="245"/>
      <c r="USB56" s="245"/>
      <c r="USC56" s="245"/>
      <c r="USD56" s="245"/>
      <c r="USE56" s="245"/>
      <c r="USF56" s="245"/>
      <c r="USG56" s="245"/>
      <c r="USH56" s="245"/>
      <c r="USI56" s="245"/>
      <c r="USJ56" s="245"/>
      <c r="USK56" s="245"/>
      <c r="USL56" s="245"/>
      <c r="USM56" s="245"/>
      <c r="USN56" s="245"/>
      <c r="USO56" s="245"/>
      <c r="USP56" s="245"/>
      <c r="USQ56" s="245"/>
      <c r="USR56" s="245"/>
      <c r="USS56" s="245"/>
      <c r="UST56" s="245"/>
      <c r="USU56" s="245"/>
      <c r="USV56" s="245"/>
      <c r="USW56" s="245"/>
      <c r="USX56" s="245"/>
      <c r="USY56" s="245"/>
      <c r="USZ56" s="245"/>
      <c r="UTA56" s="245"/>
      <c r="UTB56" s="245"/>
      <c r="UTC56" s="245"/>
      <c r="UTD56" s="245"/>
      <c r="UTE56" s="245"/>
      <c r="UTF56" s="245"/>
      <c r="UTG56" s="245"/>
      <c r="UTH56" s="245"/>
      <c r="UTI56" s="245"/>
      <c r="UTJ56" s="245"/>
      <c r="UTK56" s="245"/>
      <c r="UTL56" s="245"/>
      <c r="UTM56" s="245"/>
      <c r="UTN56" s="245"/>
      <c r="UTO56" s="245"/>
      <c r="UTP56" s="245"/>
      <c r="UTQ56" s="245"/>
      <c r="UTR56" s="245"/>
      <c r="UTS56" s="245"/>
      <c r="UTT56" s="245"/>
      <c r="UTU56" s="245"/>
      <c r="UTV56" s="245"/>
      <c r="UTW56" s="245"/>
      <c r="UTX56" s="245"/>
      <c r="UTY56" s="245"/>
      <c r="UTZ56" s="245"/>
      <c r="UUA56" s="245"/>
      <c r="UUB56" s="245"/>
      <c r="UUC56" s="245"/>
      <c r="UUD56" s="245"/>
      <c r="UUE56" s="245"/>
      <c r="UUF56" s="245"/>
      <c r="UUG56" s="245"/>
      <c r="UUH56" s="245"/>
      <c r="UUI56" s="245"/>
      <c r="UUJ56" s="245"/>
      <c r="UUK56" s="245"/>
      <c r="UUL56" s="245"/>
      <c r="UUM56" s="245"/>
      <c r="UUN56" s="245"/>
      <c r="UUO56" s="245"/>
      <c r="UUP56" s="245"/>
      <c r="UUQ56" s="245"/>
      <c r="UUR56" s="245"/>
      <c r="UUS56" s="245"/>
      <c r="UUT56" s="245"/>
      <c r="UUU56" s="245"/>
      <c r="UUV56" s="245"/>
      <c r="UUW56" s="245"/>
      <c r="UUX56" s="245"/>
      <c r="UUY56" s="245"/>
      <c r="UUZ56" s="245"/>
      <c r="UVA56" s="245"/>
      <c r="UVB56" s="245"/>
      <c r="UVC56" s="245"/>
      <c r="UVD56" s="245"/>
      <c r="UVE56" s="245"/>
      <c r="UVF56" s="245"/>
      <c r="UVG56" s="245"/>
      <c r="UVH56" s="245"/>
      <c r="UVI56" s="245"/>
      <c r="UVJ56" s="245"/>
      <c r="UVK56" s="245"/>
      <c r="UVL56" s="245"/>
      <c r="UVM56" s="245"/>
      <c r="UVN56" s="245"/>
      <c r="UVO56" s="245"/>
      <c r="UVP56" s="245"/>
      <c r="UVQ56" s="245"/>
      <c r="UVR56" s="245"/>
      <c r="UVS56" s="245"/>
      <c r="UVT56" s="245"/>
      <c r="UVU56" s="245"/>
      <c r="UVV56" s="245"/>
      <c r="UVW56" s="245"/>
      <c r="UVX56" s="245"/>
      <c r="UVY56" s="245"/>
      <c r="UVZ56" s="245"/>
      <c r="UWA56" s="245"/>
      <c r="UWB56" s="245"/>
      <c r="UWC56" s="245"/>
      <c r="UWD56" s="245"/>
      <c r="UWE56" s="245"/>
      <c r="UWF56" s="245"/>
      <c r="UWG56" s="245"/>
      <c r="UWH56" s="245"/>
      <c r="UWI56" s="245"/>
      <c r="UWJ56" s="245"/>
      <c r="UWK56" s="245"/>
      <c r="UWL56" s="245"/>
      <c r="UWM56" s="245"/>
      <c r="UWN56" s="245"/>
      <c r="UWO56" s="245"/>
      <c r="UWP56" s="245"/>
      <c r="UWQ56" s="245"/>
      <c r="UWR56" s="245"/>
      <c r="UWS56" s="245"/>
      <c r="UWT56" s="245"/>
      <c r="UWU56" s="245"/>
      <c r="UWV56" s="245"/>
      <c r="UWW56" s="245"/>
      <c r="UWX56" s="245"/>
      <c r="UWY56" s="245"/>
      <c r="UWZ56" s="245"/>
      <c r="UXA56" s="245"/>
      <c r="UXB56" s="245"/>
      <c r="UXC56" s="245"/>
      <c r="UXD56" s="245"/>
      <c r="UXE56" s="245"/>
      <c r="UXF56" s="245"/>
      <c r="UXG56" s="245"/>
      <c r="UXH56" s="245"/>
      <c r="UXI56" s="245"/>
      <c r="UXJ56" s="245"/>
      <c r="UXK56" s="245"/>
      <c r="UXL56" s="245"/>
      <c r="UXM56" s="245"/>
      <c r="UXN56" s="245"/>
      <c r="UXO56" s="245"/>
      <c r="UXP56" s="245"/>
      <c r="UXQ56" s="245"/>
      <c r="UXR56" s="245"/>
      <c r="UXS56" s="245"/>
      <c r="UXT56" s="245"/>
      <c r="UXU56" s="245"/>
      <c r="UXV56" s="245"/>
      <c r="UXW56" s="245"/>
      <c r="UXX56" s="245"/>
      <c r="UXY56" s="245"/>
      <c r="UXZ56" s="245"/>
      <c r="UYA56" s="245"/>
      <c r="UYB56" s="245"/>
      <c r="UYC56" s="245"/>
      <c r="UYD56" s="245"/>
      <c r="UYE56" s="245"/>
      <c r="UYF56" s="245"/>
      <c r="UYG56" s="245"/>
      <c r="UYH56" s="245"/>
      <c r="UYI56" s="245"/>
      <c r="UYJ56" s="245"/>
      <c r="UYK56" s="245"/>
      <c r="UYL56" s="245"/>
      <c r="UYM56" s="245"/>
      <c r="UYN56" s="245"/>
      <c r="UYO56" s="245"/>
      <c r="UYP56" s="245"/>
      <c r="UYQ56" s="245"/>
      <c r="UYR56" s="245"/>
      <c r="UYS56" s="245"/>
      <c r="UYT56" s="245"/>
      <c r="UYU56" s="245"/>
      <c r="UYV56" s="245"/>
      <c r="UYW56" s="245"/>
      <c r="UYX56" s="245"/>
      <c r="UYY56" s="245"/>
      <c r="UYZ56" s="245"/>
      <c r="UZA56" s="245"/>
      <c r="UZB56" s="245"/>
      <c r="UZC56" s="245"/>
      <c r="UZD56" s="245"/>
      <c r="UZE56" s="245"/>
      <c r="UZF56" s="245"/>
      <c r="UZG56" s="245"/>
      <c r="UZH56" s="245"/>
      <c r="UZI56" s="245"/>
      <c r="UZJ56" s="245"/>
      <c r="UZK56" s="245"/>
      <c r="UZL56" s="245"/>
      <c r="UZM56" s="245"/>
      <c r="UZN56" s="245"/>
      <c r="UZO56" s="245"/>
      <c r="UZP56" s="245"/>
      <c r="UZQ56" s="245"/>
      <c r="UZR56" s="245"/>
      <c r="UZS56" s="245"/>
      <c r="UZT56" s="245"/>
      <c r="UZU56" s="245"/>
      <c r="UZV56" s="245"/>
      <c r="UZW56" s="245"/>
      <c r="UZX56" s="245"/>
      <c r="UZY56" s="245"/>
      <c r="UZZ56" s="245"/>
      <c r="VAA56" s="245"/>
      <c r="VAB56" s="245"/>
      <c r="VAC56" s="245"/>
      <c r="VAD56" s="245"/>
      <c r="VAE56" s="245"/>
      <c r="VAF56" s="245"/>
      <c r="VAG56" s="245"/>
      <c r="VAH56" s="245"/>
      <c r="VAI56" s="245"/>
      <c r="VAJ56" s="245"/>
      <c r="VAK56" s="245"/>
      <c r="VAL56" s="245"/>
      <c r="VAM56" s="245"/>
      <c r="VAN56" s="245"/>
      <c r="VAO56" s="245"/>
      <c r="VAP56" s="245"/>
      <c r="VAQ56" s="245"/>
      <c r="VAR56" s="245"/>
      <c r="VAS56" s="245"/>
      <c r="VAT56" s="245"/>
      <c r="VAU56" s="245"/>
      <c r="VAV56" s="245"/>
      <c r="VAW56" s="245"/>
      <c r="VAX56" s="245"/>
      <c r="VAY56" s="245"/>
      <c r="VAZ56" s="245"/>
      <c r="VBA56" s="245"/>
      <c r="VBB56" s="245"/>
      <c r="VBC56" s="245"/>
      <c r="VBD56" s="245"/>
      <c r="VBE56" s="245"/>
      <c r="VBF56" s="245"/>
      <c r="VBG56" s="245"/>
      <c r="VBH56" s="245"/>
      <c r="VBI56" s="245"/>
      <c r="VBJ56" s="245"/>
      <c r="VBK56" s="245"/>
      <c r="VBL56" s="245"/>
      <c r="VBM56" s="245"/>
      <c r="VBN56" s="245"/>
      <c r="VBO56" s="245"/>
      <c r="VBP56" s="245"/>
      <c r="VBQ56" s="245"/>
      <c r="VBR56" s="245"/>
      <c r="VBS56" s="245"/>
      <c r="VBT56" s="245"/>
      <c r="VBU56" s="245"/>
      <c r="VBV56" s="245"/>
      <c r="VBW56" s="245"/>
      <c r="VBX56" s="245"/>
      <c r="VBY56" s="245"/>
      <c r="VBZ56" s="245"/>
      <c r="VCA56" s="245"/>
      <c r="VCB56" s="245"/>
      <c r="VCC56" s="245"/>
      <c r="VCD56" s="245"/>
      <c r="VCE56" s="245"/>
      <c r="VCF56" s="245"/>
      <c r="VCG56" s="245"/>
      <c r="VCH56" s="245"/>
      <c r="VCI56" s="245"/>
      <c r="VCJ56" s="245"/>
      <c r="VCK56" s="245"/>
      <c r="VCL56" s="245"/>
      <c r="VCM56" s="245"/>
      <c r="VCN56" s="245"/>
      <c r="VCO56" s="245"/>
      <c r="VCP56" s="245"/>
      <c r="VCQ56" s="245"/>
      <c r="VCR56" s="245"/>
      <c r="VCS56" s="245"/>
      <c r="VCT56" s="245"/>
      <c r="VCU56" s="245"/>
      <c r="VCV56" s="245"/>
      <c r="VCW56" s="245"/>
      <c r="VCX56" s="245"/>
      <c r="VCY56" s="245"/>
      <c r="VCZ56" s="245"/>
      <c r="VDA56" s="245"/>
      <c r="VDB56" s="245"/>
      <c r="VDC56" s="245"/>
      <c r="VDD56" s="245"/>
      <c r="VDE56" s="245"/>
      <c r="VDF56" s="245"/>
      <c r="VDG56" s="245"/>
      <c r="VDH56" s="245"/>
      <c r="VDI56" s="245"/>
      <c r="VDJ56" s="245"/>
      <c r="VDK56" s="245"/>
      <c r="VDL56" s="245"/>
      <c r="VDM56" s="245"/>
      <c r="VDN56" s="245"/>
      <c r="VDO56" s="245"/>
      <c r="VDP56" s="245"/>
      <c r="VDQ56" s="245"/>
      <c r="VDR56" s="245"/>
      <c r="VDS56" s="245"/>
      <c r="VDT56" s="245"/>
      <c r="VDU56" s="245"/>
      <c r="VDV56" s="245"/>
      <c r="VDW56" s="245"/>
      <c r="VDX56" s="245"/>
      <c r="VDY56" s="245"/>
      <c r="VDZ56" s="245"/>
      <c r="VEA56" s="245"/>
      <c r="VEB56" s="245"/>
      <c r="VEC56" s="245"/>
      <c r="VED56" s="245"/>
      <c r="VEE56" s="245"/>
      <c r="VEF56" s="245"/>
      <c r="VEG56" s="245"/>
      <c r="VEH56" s="245"/>
      <c r="VEI56" s="245"/>
      <c r="VEJ56" s="245"/>
      <c r="VEK56" s="245"/>
      <c r="VEL56" s="245"/>
      <c r="VEM56" s="245"/>
      <c r="VEN56" s="245"/>
      <c r="VEO56" s="245"/>
      <c r="VEP56" s="245"/>
      <c r="VEQ56" s="245"/>
      <c r="VER56" s="245"/>
      <c r="VES56" s="245"/>
      <c r="VET56" s="245"/>
      <c r="VEU56" s="245"/>
      <c r="VEV56" s="245"/>
      <c r="VEW56" s="245"/>
      <c r="VEX56" s="245"/>
      <c r="VEY56" s="245"/>
      <c r="VEZ56" s="245"/>
      <c r="VFA56" s="245"/>
      <c r="VFB56" s="245"/>
      <c r="VFC56" s="245"/>
      <c r="VFD56" s="245"/>
      <c r="VFE56" s="245"/>
      <c r="VFF56" s="245"/>
      <c r="VFG56" s="245"/>
      <c r="VFH56" s="245"/>
      <c r="VFI56" s="245"/>
      <c r="VFJ56" s="245"/>
      <c r="VFK56" s="245"/>
      <c r="VFL56" s="245"/>
      <c r="VFM56" s="245"/>
      <c r="VFN56" s="245"/>
      <c r="VFO56" s="245"/>
      <c r="VFP56" s="245"/>
      <c r="VFQ56" s="245"/>
      <c r="VFR56" s="245"/>
      <c r="VFS56" s="245"/>
      <c r="VFT56" s="245"/>
      <c r="VFU56" s="245"/>
      <c r="VFV56" s="245"/>
      <c r="VFW56" s="245"/>
      <c r="VFX56" s="245"/>
      <c r="VFY56" s="245"/>
      <c r="VFZ56" s="245"/>
      <c r="VGA56" s="245"/>
      <c r="VGB56" s="245"/>
      <c r="VGC56" s="245"/>
      <c r="VGD56" s="245"/>
      <c r="VGE56" s="245"/>
      <c r="VGF56" s="245"/>
      <c r="VGG56" s="245"/>
      <c r="VGH56" s="245"/>
      <c r="VGI56" s="245"/>
      <c r="VGJ56" s="245"/>
      <c r="VGK56" s="245"/>
      <c r="VGL56" s="245"/>
      <c r="VGM56" s="245"/>
      <c r="VGN56" s="245"/>
      <c r="VGO56" s="245"/>
      <c r="VGP56" s="245"/>
      <c r="VGQ56" s="245"/>
      <c r="VGR56" s="245"/>
      <c r="VGS56" s="245"/>
      <c r="VGT56" s="245"/>
      <c r="VGU56" s="245"/>
      <c r="VGV56" s="245"/>
      <c r="VGW56" s="245"/>
      <c r="VGX56" s="245"/>
      <c r="VGY56" s="245"/>
      <c r="VGZ56" s="245"/>
      <c r="VHA56" s="245"/>
      <c r="VHB56" s="245"/>
      <c r="VHC56" s="245"/>
      <c r="VHD56" s="245"/>
      <c r="VHE56" s="245"/>
      <c r="VHF56" s="245"/>
      <c r="VHG56" s="245"/>
      <c r="VHH56" s="245"/>
      <c r="VHI56" s="245"/>
      <c r="VHJ56" s="245"/>
      <c r="VHK56" s="245"/>
      <c r="VHL56" s="245"/>
      <c r="VHM56" s="245"/>
      <c r="VHN56" s="245"/>
      <c r="VHO56" s="245"/>
      <c r="VHP56" s="245"/>
      <c r="VHQ56" s="245"/>
      <c r="VHR56" s="245"/>
      <c r="VHS56" s="245"/>
      <c r="VHT56" s="245"/>
      <c r="VHU56" s="245"/>
      <c r="VHV56" s="245"/>
      <c r="VHW56" s="245"/>
      <c r="VHX56" s="245"/>
      <c r="VHY56" s="245"/>
      <c r="VHZ56" s="245"/>
      <c r="VIA56" s="245"/>
      <c r="VIB56" s="245"/>
      <c r="VIC56" s="245"/>
      <c r="VID56" s="245"/>
      <c r="VIE56" s="245"/>
      <c r="VIF56" s="245"/>
      <c r="VIG56" s="245"/>
      <c r="VIH56" s="245"/>
      <c r="VII56" s="245"/>
      <c r="VIJ56" s="245"/>
      <c r="VIK56" s="245"/>
      <c r="VIL56" s="245"/>
      <c r="VIM56" s="245"/>
      <c r="VIN56" s="245"/>
      <c r="VIO56" s="245"/>
      <c r="VIP56" s="245"/>
      <c r="VIQ56" s="245"/>
      <c r="VIR56" s="245"/>
      <c r="VIS56" s="245"/>
      <c r="VIT56" s="245"/>
      <c r="VIU56" s="245"/>
      <c r="VIV56" s="245"/>
      <c r="VIW56" s="245"/>
      <c r="VIX56" s="245"/>
      <c r="VIY56" s="245"/>
      <c r="VIZ56" s="245"/>
      <c r="VJA56" s="245"/>
      <c r="VJB56" s="245"/>
      <c r="VJC56" s="245"/>
      <c r="VJD56" s="245"/>
      <c r="VJE56" s="245"/>
      <c r="VJF56" s="245"/>
      <c r="VJG56" s="245"/>
      <c r="VJH56" s="245"/>
      <c r="VJI56" s="245"/>
      <c r="VJJ56" s="245"/>
      <c r="VJK56" s="245"/>
      <c r="VJL56" s="245"/>
      <c r="VJM56" s="245"/>
      <c r="VJN56" s="245"/>
      <c r="VJO56" s="245"/>
      <c r="VJP56" s="245"/>
      <c r="VJQ56" s="245"/>
      <c r="VJR56" s="245"/>
      <c r="VJS56" s="245"/>
      <c r="VJT56" s="245"/>
      <c r="VJU56" s="245"/>
      <c r="VJV56" s="245"/>
      <c r="VJW56" s="245"/>
      <c r="VJX56" s="245"/>
      <c r="VJY56" s="245"/>
      <c r="VJZ56" s="245"/>
      <c r="VKA56" s="245"/>
      <c r="VKB56" s="245"/>
      <c r="VKC56" s="245"/>
      <c r="VKD56" s="245"/>
      <c r="VKE56" s="245"/>
      <c r="VKF56" s="245"/>
      <c r="VKG56" s="245"/>
      <c r="VKH56" s="245"/>
      <c r="VKI56" s="245"/>
      <c r="VKJ56" s="245"/>
      <c r="VKK56" s="245"/>
      <c r="VKL56" s="245"/>
      <c r="VKM56" s="245"/>
      <c r="VKN56" s="245"/>
      <c r="VKO56" s="245"/>
      <c r="VKP56" s="245"/>
      <c r="VKQ56" s="245"/>
      <c r="VKR56" s="245"/>
      <c r="VKS56" s="245"/>
      <c r="VKT56" s="245"/>
      <c r="VKU56" s="245"/>
      <c r="VKV56" s="245"/>
      <c r="VKW56" s="245"/>
      <c r="VKX56" s="245"/>
      <c r="VKY56" s="245"/>
      <c r="VKZ56" s="245"/>
      <c r="VLA56" s="245"/>
      <c r="VLB56" s="245"/>
      <c r="VLC56" s="245"/>
      <c r="VLD56" s="245"/>
      <c r="VLE56" s="245"/>
      <c r="VLF56" s="245"/>
      <c r="VLG56" s="245"/>
      <c r="VLH56" s="245"/>
      <c r="VLI56" s="245"/>
      <c r="VLJ56" s="245"/>
      <c r="VLK56" s="245"/>
      <c r="VLL56" s="245"/>
      <c r="VLM56" s="245"/>
      <c r="VLN56" s="245"/>
      <c r="VLO56" s="245"/>
      <c r="VLP56" s="245"/>
      <c r="VLQ56" s="245"/>
      <c r="VLR56" s="245"/>
      <c r="VLS56" s="245"/>
      <c r="VLT56" s="245"/>
      <c r="VLU56" s="245"/>
      <c r="VLV56" s="245"/>
      <c r="VLW56" s="245"/>
      <c r="VLX56" s="245"/>
      <c r="VLY56" s="245"/>
      <c r="VLZ56" s="245"/>
      <c r="VMA56" s="245"/>
      <c r="VMB56" s="245"/>
      <c r="VMC56" s="245"/>
      <c r="VMD56" s="245"/>
      <c r="VME56" s="245"/>
      <c r="VMF56" s="245"/>
      <c r="VMG56" s="245"/>
      <c r="VMH56" s="245"/>
      <c r="VMI56" s="245"/>
      <c r="VMJ56" s="245"/>
      <c r="VMK56" s="245"/>
      <c r="VML56" s="245"/>
      <c r="VMM56" s="245"/>
      <c r="VMN56" s="245"/>
      <c r="VMO56" s="245"/>
      <c r="VMP56" s="245"/>
      <c r="VMQ56" s="245"/>
      <c r="VMR56" s="245"/>
      <c r="VMS56" s="245"/>
      <c r="VMT56" s="245"/>
      <c r="VMU56" s="245"/>
      <c r="VMV56" s="245"/>
      <c r="VMW56" s="245"/>
      <c r="VMX56" s="245"/>
      <c r="VMY56" s="245"/>
      <c r="VMZ56" s="245"/>
      <c r="VNA56" s="245"/>
      <c r="VNB56" s="245"/>
      <c r="VNC56" s="245"/>
      <c r="VND56" s="245"/>
      <c r="VNE56" s="245"/>
      <c r="VNF56" s="245"/>
      <c r="VNG56" s="245"/>
      <c r="VNH56" s="245"/>
      <c r="VNI56" s="245"/>
      <c r="VNJ56" s="245"/>
      <c r="VNK56" s="245"/>
      <c r="VNL56" s="245"/>
      <c r="VNM56" s="245"/>
      <c r="VNN56" s="245"/>
      <c r="VNO56" s="245"/>
      <c r="VNP56" s="245"/>
      <c r="VNQ56" s="245"/>
      <c r="VNR56" s="245"/>
      <c r="VNS56" s="245"/>
      <c r="VNT56" s="245"/>
      <c r="VNU56" s="245"/>
      <c r="VNV56" s="245"/>
      <c r="VNW56" s="245"/>
      <c r="VNX56" s="245"/>
      <c r="VNY56" s="245"/>
      <c r="VNZ56" s="245"/>
      <c r="VOA56" s="245"/>
      <c r="VOB56" s="245"/>
      <c r="VOC56" s="245"/>
      <c r="VOD56" s="245"/>
      <c r="VOE56" s="245"/>
      <c r="VOF56" s="245"/>
      <c r="VOG56" s="245"/>
      <c r="VOH56" s="245"/>
      <c r="VOI56" s="245"/>
      <c r="VOJ56" s="245"/>
      <c r="VOK56" s="245"/>
      <c r="VOL56" s="245"/>
      <c r="VOM56" s="245"/>
      <c r="VON56" s="245"/>
      <c r="VOO56" s="245"/>
      <c r="VOP56" s="245"/>
      <c r="VOQ56" s="245"/>
      <c r="VOR56" s="245"/>
      <c r="VOS56" s="245"/>
      <c r="VOT56" s="245"/>
      <c r="VOU56" s="245"/>
      <c r="VOV56" s="245"/>
      <c r="VOW56" s="245"/>
      <c r="VOX56" s="245"/>
      <c r="VOY56" s="245"/>
      <c r="VOZ56" s="245"/>
      <c r="VPA56" s="245"/>
      <c r="VPB56" s="245"/>
      <c r="VPC56" s="245"/>
      <c r="VPD56" s="245"/>
      <c r="VPE56" s="245"/>
      <c r="VPF56" s="245"/>
      <c r="VPG56" s="245"/>
      <c r="VPH56" s="245"/>
      <c r="VPI56" s="245"/>
      <c r="VPJ56" s="245"/>
      <c r="VPK56" s="245"/>
      <c r="VPL56" s="245"/>
      <c r="VPM56" s="245"/>
      <c r="VPN56" s="245"/>
      <c r="VPO56" s="245"/>
      <c r="VPP56" s="245"/>
      <c r="VPQ56" s="245"/>
      <c r="VPR56" s="245"/>
      <c r="VPS56" s="245"/>
      <c r="VPT56" s="245"/>
      <c r="VPU56" s="245"/>
      <c r="VPV56" s="245"/>
      <c r="VPW56" s="245"/>
      <c r="VPX56" s="245"/>
      <c r="VPY56" s="245"/>
      <c r="VPZ56" s="245"/>
      <c r="VQA56" s="245"/>
      <c r="VQB56" s="245"/>
      <c r="VQC56" s="245"/>
      <c r="VQD56" s="245"/>
      <c r="VQE56" s="245"/>
      <c r="VQF56" s="245"/>
      <c r="VQG56" s="245"/>
      <c r="VQH56" s="245"/>
      <c r="VQI56" s="245"/>
      <c r="VQJ56" s="245"/>
      <c r="VQK56" s="245"/>
      <c r="VQL56" s="245"/>
      <c r="VQM56" s="245"/>
      <c r="VQN56" s="245"/>
      <c r="VQO56" s="245"/>
      <c r="VQP56" s="245"/>
      <c r="VQQ56" s="245"/>
      <c r="VQR56" s="245"/>
      <c r="VQS56" s="245"/>
      <c r="VQT56" s="245"/>
      <c r="VQU56" s="245"/>
      <c r="VQV56" s="245"/>
      <c r="VQW56" s="245"/>
      <c r="VQX56" s="245"/>
      <c r="VQY56" s="245"/>
      <c r="VQZ56" s="245"/>
      <c r="VRA56" s="245"/>
      <c r="VRB56" s="245"/>
      <c r="VRC56" s="245"/>
      <c r="VRD56" s="245"/>
      <c r="VRE56" s="245"/>
      <c r="VRF56" s="245"/>
      <c r="VRG56" s="245"/>
      <c r="VRH56" s="245"/>
      <c r="VRI56" s="245"/>
      <c r="VRJ56" s="245"/>
      <c r="VRK56" s="245"/>
      <c r="VRL56" s="245"/>
      <c r="VRM56" s="245"/>
      <c r="VRN56" s="245"/>
      <c r="VRO56" s="245"/>
      <c r="VRP56" s="245"/>
      <c r="VRQ56" s="245"/>
      <c r="VRR56" s="245"/>
      <c r="VRS56" s="245"/>
      <c r="VRT56" s="245"/>
      <c r="VRU56" s="245"/>
      <c r="VRV56" s="245"/>
      <c r="VRW56" s="245"/>
      <c r="VRX56" s="245"/>
      <c r="VRY56" s="245"/>
      <c r="VRZ56" s="245"/>
      <c r="VSA56" s="245"/>
      <c r="VSB56" s="245"/>
      <c r="VSC56" s="245"/>
      <c r="VSD56" s="245"/>
      <c r="VSE56" s="245"/>
      <c r="VSF56" s="245"/>
      <c r="VSG56" s="245"/>
      <c r="VSH56" s="245"/>
      <c r="VSI56" s="245"/>
      <c r="VSJ56" s="245"/>
      <c r="VSK56" s="245"/>
      <c r="VSL56" s="245"/>
      <c r="VSM56" s="245"/>
      <c r="VSN56" s="245"/>
      <c r="VSO56" s="245"/>
      <c r="VSP56" s="245"/>
      <c r="VSQ56" s="245"/>
      <c r="VSR56" s="245"/>
      <c r="VSS56" s="245"/>
      <c r="VST56" s="245"/>
      <c r="VSU56" s="245"/>
      <c r="VSV56" s="245"/>
      <c r="VSW56" s="245"/>
      <c r="VSX56" s="245"/>
      <c r="VSY56" s="245"/>
      <c r="VSZ56" s="245"/>
      <c r="VTA56" s="245"/>
      <c r="VTB56" s="245"/>
      <c r="VTC56" s="245"/>
      <c r="VTD56" s="245"/>
      <c r="VTE56" s="245"/>
      <c r="VTF56" s="245"/>
      <c r="VTG56" s="245"/>
      <c r="VTH56" s="245"/>
      <c r="VTI56" s="245"/>
      <c r="VTJ56" s="245"/>
      <c r="VTK56" s="245"/>
      <c r="VTL56" s="245"/>
      <c r="VTM56" s="245"/>
      <c r="VTN56" s="245"/>
      <c r="VTO56" s="245"/>
      <c r="VTP56" s="245"/>
      <c r="VTQ56" s="245"/>
      <c r="VTR56" s="245"/>
      <c r="VTS56" s="245"/>
      <c r="VTT56" s="245"/>
      <c r="VTU56" s="245"/>
      <c r="VTV56" s="245"/>
      <c r="VTW56" s="245"/>
      <c r="VTX56" s="245"/>
      <c r="VTY56" s="245"/>
      <c r="VTZ56" s="245"/>
      <c r="VUA56" s="245"/>
      <c r="VUB56" s="245"/>
      <c r="VUC56" s="245"/>
      <c r="VUD56" s="245"/>
      <c r="VUE56" s="245"/>
      <c r="VUF56" s="245"/>
      <c r="VUG56" s="245"/>
      <c r="VUH56" s="245"/>
      <c r="VUI56" s="245"/>
      <c r="VUJ56" s="245"/>
      <c r="VUK56" s="245"/>
      <c r="VUL56" s="245"/>
      <c r="VUM56" s="245"/>
      <c r="VUN56" s="245"/>
      <c r="VUO56" s="245"/>
      <c r="VUP56" s="245"/>
      <c r="VUQ56" s="245"/>
      <c r="VUR56" s="245"/>
      <c r="VUS56" s="245"/>
      <c r="VUT56" s="245"/>
      <c r="VUU56" s="245"/>
      <c r="VUV56" s="245"/>
      <c r="VUW56" s="245"/>
      <c r="VUX56" s="245"/>
      <c r="VUY56" s="245"/>
      <c r="VUZ56" s="245"/>
      <c r="VVA56" s="245"/>
      <c r="VVB56" s="245"/>
      <c r="VVC56" s="245"/>
      <c r="VVD56" s="245"/>
      <c r="VVE56" s="245"/>
      <c r="VVF56" s="245"/>
      <c r="VVG56" s="245"/>
      <c r="VVH56" s="245"/>
      <c r="VVI56" s="245"/>
      <c r="VVJ56" s="245"/>
      <c r="VVK56" s="245"/>
      <c r="VVL56" s="245"/>
      <c r="VVM56" s="245"/>
      <c r="VVN56" s="245"/>
      <c r="VVO56" s="245"/>
      <c r="VVP56" s="245"/>
      <c r="VVQ56" s="245"/>
      <c r="VVR56" s="245"/>
      <c r="VVS56" s="245"/>
      <c r="VVT56" s="245"/>
      <c r="VVU56" s="245"/>
      <c r="VVV56" s="245"/>
      <c r="VVW56" s="245"/>
      <c r="VVX56" s="245"/>
      <c r="VVY56" s="245"/>
      <c r="VVZ56" s="245"/>
      <c r="VWA56" s="245"/>
      <c r="VWB56" s="245"/>
      <c r="VWC56" s="245"/>
      <c r="VWD56" s="245"/>
      <c r="VWE56" s="245"/>
      <c r="VWF56" s="245"/>
      <c r="VWG56" s="245"/>
      <c r="VWH56" s="245"/>
      <c r="VWI56" s="245"/>
      <c r="VWJ56" s="245"/>
      <c r="VWK56" s="245"/>
      <c r="VWL56" s="245"/>
      <c r="VWM56" s="245"/>
      <c r="VWN56" s="245"/>
      <c r="VWO56" s="245"/>
      <c r="VWP56" s="245"/>
      <c r="VWQ56" s="245"/>
      <c r="VWR56" s="245"/>
      <c r="VWS56" s="245"/>
      <c r="VWT56" s="245"/>
      <c r="VWU56" s="245"/>
      <c r="VWV56" s="245"/>
      <c r="VWW56" s="245"/>
      <c r="VWX56" s="245"/>
      <c r="VWY56" s="245"/>
      <c r="VWZ56" s="245"/>
      <c r="VXA56" s="245"/>
      <c r="VXB56" s="245"/>
      <c r="VXC56" s="245"/>
      <c r="VXD56" s="245"/>
      <c r="VXE56" s="245"/>
      <c r="VXF56" s="245"/>
      <c r="VXG56" s="245"/>
      <c r="VXH56" s="245"/>
      <c r="VXI56" s="245"/>
      <c r="VXJ56" s="245"/>
      <c r="VXK56" s="245"/>
      <c r="VXL56" s="245"/>
      <c r="VXM56" s="245"/>
      <c r="VXN56" s="245"/>
      <c r="VXO56" s="245"/>
      <c r="VXP56" s="245"/>
      <c r="VXQ56" s="245"/>
      <c r="VXR56" s="245"/>
      <c r="VXS56" s="245"/>
      <c r="VXT56" s="245"/>
      <c r="VXU56" s="245"/>
      <c r="VXV56" s="245"/>
      <c r="VXW56" s="245"/>
      <c r="VXX56" s="245"/>
      <c r="VXY56" s="245"/>
      <c r="VXZ56" s="245"/>
      <c r="VYA56" s="245"/>
      <c r="VYB56" s="245"/>
      <c r="VYC56" s="245"/>
      <c r="VYD56" s="245"/>
      <c r="VYE56" s="245"/>
      <c r="VYF56" s="245"/>
      <c r="VYG56" s="245"/>
      <c r="VYH56" s="245"/>
      <c r="VYI56" s="245"/>
      <c r="VYJ56" s="245"/>
      <c r="VYK56" s="245"/>
      <c r="VYL56" s="245"/>
      <c r="VYM56" s="245"/>
      <c r="VYN56" s="245"/>
      <c r="VYO56" s="245"/>
      <c r="VYP56" s="245"/>
      <c r="VYQ56" s="245"/>
      <c r="VYR56" s="245"/>
      <c r="VYS56" s="245"/>
      <c r="VYT56" s="245"/>
      <c r="VYU56" s="245"/>
      <c r="VYV56" s="245"/>
      <c r="VYW56" s="245"/>
      <c r="VYX56" s="245"/>
      <c r="VYY56" s="245"/>
      <c r="VYZ56" s="245"/>
      <c r="VZA56" s="245"/>
      <c r="VZB56" s="245"/>
      <c r="VZC56" s="245"/>
      <c r="VZD56" s="245"/>
      <c r="VZE56" s="245"/>
      <c r="VZF56" s="245"/>
      <c r="VZG56" s="245"/>
      <c r="VZH56" s="245"/>
      <c r="VZI56" s="245"/>
      <c r="VZJ56" s="245"/>
      <c r="VZK56" s="245"/>
      <c r="VZL56" s="245"/>
      <c r="VZM56" s="245"/>
      <c r="VZN56" s="245"/>
      <c r="VZO56" s="245"/>
      <c r="VZP56" s="245"/>
      <c r="VZQ56" s="245"/>
      <c r="VZR56" s="245"/>
      <c r="VZS56" s="245"/>
      <c r="VZT56" s="245"/>
      <c r="VZU56" s="245"/>
      <c r="VZV56" s="245"/>
      <c r="VZW56" s="245"/>
      <c r="VZX56" s="245"/>
      <c r="VZY56" s="245"/>
      <c r="VZZ56" s="245"/>
      <c r="WAA56" s="245"/>
      <c r="WAB56" s="245"/>
      <c r="WAC56" s="245"/>
      <c r="WAD56" s="245"/>
      <c r="WAE56" s="245"/>
      <c r="WAF56" s="245"/>
      <c r="WAG56" s="245"/>
      <c r="WAH56" s="245"/>
      <c r="WAI56" s="245"/>
      <c r="WAJ56" s="245"/>
      <c r="WAK56" s="245"/>
      <c r="WAL56" s="245"/>
      <c r="WAM56" s="245"/>
      <c r="WAN56" s="245"/>
      <c r="WAO56" s="245"/>
      <c r="WAP56" s="245"/>
      <c r="WAQ56" s="245"/>
      <c r="WAR56" s="245"/>
      <c r="WAS56" s="245"/>
      <c r="WAT56" s="245"/>
      <c r="WAU56" s="245"/>
      <c r="WAV56" s="245"/>
      <c r="WAW56" s="245"/>
      <c r="WAX56" s="245"/>
      <c r="WAY56" s="245"/>
      <c r="WAZ56" s="245"/>
      <c r="WBA56" s="245"/>
      <c r="WBB56" s="245"/>
      <c r="WBC56" s="245"/>
      <c r="WBD56" s="245"/>
      <c r="WBE56" s="245"/>
      <c r="WBF56" s="245"/>
      <c r="WBG56" s="245"/>
      <c r="WBH56" s="245"/>
      <c r="WBI56" s="245"/>
      <c r="WBJ56" s="245"/>
      <c r="WBK56" s="245"/>
      <c r="WBL56" s="245"/>
      <c r="WBM56" s="245"/>
      <c r="WBN56" s="245"/>
      <c r="WBO56" s="245"/>
      <c r="WBP56" s="245"/>
      <c r="WBQ56" s="245"/>
      <c r="WBR56" s="245"/>
      <c r="WBS56" s="245"/>
      <c r="WBT56" s="245"/>
      <c r="WBU56" s="245"/>
      <c r="WBV56" s="245"/>
      <c r="WBW56" s="245"/>
      <c r="WBX56" s="245"/>
      <c r="WBY56" s="245"/>
      <c r="WBZ56" s="245"/>
      <c r="WCA56" s="245"/>
      <c r="WCB56" s="245"/>
      <c r="WCC56" s="245"/>
      <c r="WCD56" s="245"/>
      <c r="WCE56" s="245"/>
      <c r="WCF56" s="245"/>
      <c r="WCG56" s="245"/>
      <c r="WCH56" s="245"/>
      <c r="WCI56" s="245"/>
      <c r="WCJ56" s="245"/>
      <c r="WCK56" s="245"/>
      <c r="WCL56" s="245"/>
      <c r="WCM56" s="245"/>
      <c r="WCN56" s="245"/>
      <c r="WCO56" s="245"/>
      <c r="WCP56" s="245"/>
      <c r="WCQ56" s="245"/>
      <c r="WCR56" s="245"/>
      <c r="WCS56" s="245"/>
      <c r="WCT56" s="245"/>
      <c r="WCU56" s="245"/>
      <c r="WCV56" s="245"/>
      <c r="WCW56" s="245"/>
      <c r="WCX56" s="245"/>
      <c r="WCY56" s="245"/>
      <c r="WCZ56" s="245"/>
      <c r="WDA56" s="245"/>
      <c r="WDB56" s="245"/>
      <c r="WDC56" s="245"/>
      <c r="WDD56" s="245"/>
      <c r="WDE56" s="245"/>
      <c r="WDF56" s="245"/>
      <c r="WDG56" s="245"/>
      <c r="WDH56" s="245"/>
      <c r="WDI56" s="245"/>
      <c r="WDJ56" s="245"/>
      <c r="WDK56" s="245"/>
      <c r="WDL56" s="245"/>
      <c r="WDM56" s="245"/>
      <c r="WDN56" s="245"/>
      <c r="WDO56" s="245"/>
      <c r="WDP56" s="245"/>
      <c r="WDQ56" s="245"/>
      <c r="WDR56" s="245"/>
      <c r="WDS56" s="245"/>
      <c r="WDT56" s="245"/>
      <c r="WDU56" s="245"/>
      <c r="WDV56" s="245"/>
      <c r="WDW56" s="245"/>
      <c r="WDX56" s="245"/>
      <c r="WDY56" s="245"/>
      <c r="WDZ56" s="245"/>
      <c r="WEA56" s="245"/>
      <c r="WEB56" s="245"/>
      <c r="WEC56" s="245"/>
      <c r="WED56" s="245"/>
      <c r="WEE56" s="245"/>
      <c r="WEF56" s="245"/>
      <c r="WEG56" s="245"/>
      <c r="WEH56" s="245"/>
      <c r="WEI56" s="245"/>
      <c r="WEJ56" s="245"/>
      <c r="WEK56" s="245"/>
      <c r="WEL56" s="245"/>
      <c r="WEM56" s="245"/>
      <c r="WEN56" s="245"/>
      <c r="WEO56" s="245"/>
      <c r="WEP56" s="245"/>
      <c r="WEQ56" s="245"/>
      <c r="WER56" s="245"/>
      <c r="WES56" s="245"/>
      <c r="WET56" s="245"/>
      <c r="WEU56" s="245"/>
      <c r="WEV56" s="245"/>
      <c r="WEW56" s="245"/>
      <c r="WEX56" s="245"/>
      <c r="WEY56" s="245"/>
      <c r="WEZ56" s="245"/>
      <c r="WFA56" s="245"/>
      <c r="WFB56" s="245"/>
      <c r="WFC56" s="245"/>
      <c r="WFD56" s="245"/>
      <c r="WFE56" s="245"/>
      <c r="WFF56" s="245"/>
      <c r="WFG56" s="245"/>
      <c r="WFH56" s="245"/>
      <c r="WFI56" s="245"/>
      <c r="WFJ56" s="245"/>
      <c r="WFK56" s="245"/>
      <c r="WFL56" s="245"/>
      <c r="WFM56" s="245"/>
      <c r="WFN56" s="245"/>
      <c r="WFO56" s="245"/>
      <c r="WFP56" s="245"/>
      <c r="WFQ56" s="245"/>
      <c r="WFR56" s="245"/>
      <c r="WFS56" s="245"/>
      <c r="WFT56" s="245"/>
      <c r="WFU56" s="245"/>
      <c r="WFV56" s="245"/>
      <c r="WFW56" s="245"/>
      <c r="WFX56" s="245"/>
      <c r="WFY56" s="245"/>
      <c r="WFZ56" s="245"/>
      <c r="WGA56" s="245"/>
      <c r="WGB56" s="245"/>
      <c r="WGC56" s="245"/>
      <c r="WGD56" s="245"/>
      <c r="WGE56" s="245"/>
      <c r="WGF56" s="245"/>
      <c r="WGG56" s="245"/>
      <c r="WGH56" s="245"/>
      <c r="WGI56" s="245"/>
      <c r="WGJ56" s="245"/>
      <c r="WGK56" s="245"/>
      <c r="WGL56" s="245"/>
      <c r="WGM56" s="245"/>
      <c r="WGN56" s="245"/>
      <c r="WGO56" s="245"/>
      <c r="WGP56" s="245"/>
      <c r="WGQ56" s="245"/>
      <c r="WGR56" s="245"/>
      <c r="WGS56" s="245"/>
      <c r="WGT56" s="245"/>
      <c r="WGU56" s="245"/>
      <c r="WGV56" s="245"/>
      <c r="WGW56" s="245"/>
      <c r="WGX56" s="245"/>
      <c r="WGY56" s="245"/>
      <c r="WGZ56" s="245"/>
      <c r="WHA56" s="245"/>
      <c r="WHB56" s="245"/>
      <c r="WHC56" s="245"/>
      <c r="WHD56" s="245"/>
      <c r="WHE56" s="245"/>
      <c r="WHF56" s="245"/>
      <c r="WHG56" s="245"/>
      <c r="WHH56" s="245"/>
      <c r="WHI56" s="245"/>
      <c r="WHJ56" s="245"/>
      <c r="WHK56" s="245"/>
      <c r="WHL56" s="245"/>
      <c r="WHM56" s="245"/>
      <c r="WHN56" s="245"/>
      <c r="WHO56" s="245"/>
      <c r="WHP56" s="245"/>
      <c r="WHQ56" s="245"/>
      <c r="WHR56" s="245"/>
      <c r="WHS56" s="245"/>
      <c r="WHT56" s="245"/>
      <c r="WHU56" s="245"/>
      <c r="WHV56" s="245"/>
      <c r="WHW56" s="245"/>
      <c r="WHX56" s="245"/>
      <c r="WHY56" s="245"/>
      <c r="WHZ56" s="245"/>
      <c r="WIA56" s="245"/>
      <c r="WIB56" s="245"/>
      <c r="WIC56" s="245"/>
      <c r="WID56" s="245"/>
      <c r="WIE56" s="245"/>
      <c r="WIF56" s="245"/>
      <c r="WIG56" s="245"/>
      <c r="WIH56" s="245"/>
      <c r="WII56" s="245"/>
      <c r="WIJ56" s="245"/>
      <c r="WIK56" s="245"/>
      <c r="WIL56" s="245"/>
      <c r="WIM56" s="245"/>
      <c r="WIN56" s="245"/>
      <c r="WIO56" s="245"/>
      <c r="WIP56" s="245"/>
      <c r="WIQ56" s="245"/>
      <c r="WIR56" s="245"/>
      <c r="WIS56" s="245"/>
      <c r="WIT56" s="245"/>
      <c r="WIU56" s="245"/>
      <c r="WIV56" s="245"/>
      <c r="WIW56" s="245"/>
      <c r="WIX56" s="245"/>
      <c r="WIY56" s="245"/>
      <c r="WIZ56" s="245"/>
      <c r="WJA56" s="245"/>
      <c r="WJB56" s="245"/>
      <c r="WJC56" s="245"/>
      <c r="WJD56" s="245"/>
      <c r="WJE56" s="245"/>
      <c r="WJF56" s="245"/>
      <c r="WJG56" s="245"/>
      <c r="WJH56" s="245"/>
      <c r="WJI56" s="245"/>
      <c r="WJJ56" s="245"/>
      <c r="WJK56" s="245"/>
      <c r="WJL56" s="245"/>
      <c r="WJM56" s="245"/>
      <c r="WJN56" s="245"/>
      <c r="WJO56" s="245"/>
      <c r="WJP56" s="245"/>
      <c r="WJQ56" s="245"/>
      <c r="WJR56" s="245"/>
      <c r="WJS56" s="245"/>
      <c r="WJT56" s="245"/>
      <c r="WJU56" s="245"/>
      <c r="WJV56" s="245"/>
      <c r="WJW56" s="245"/>
      <c r="WJX56" s="245"/>
      <c r="WJY56" s="245"/>
      <c r="WJZ56" s="245"/>
      <c r="WKA56" s="245"/>
      <c r="WKB56" s="245"/>
      <c r="WKC56" s="245"/>
      <c r="WKD56" s="245"/>
      <c r="WKE56" s="245"/>
      <c r="WKF56" s="245"/>
      <c r="WKG56" s="245"/>
      <c r="WKH56" s="245"/>
      <c r="WKI56" s="245"/>
      <c r="WKJ56" s="245"/>
      <c r="WKK56" s="245"/>
      <c r="WKL56" s="245"/>
      <c r="WKM56" s="245"/>
      <c r="WKN56" s="245"/>
      <c r="WKO56" s="245"/>
      <c r="WKP56" s="245"/>
      <c r="WKQ56" s="245"/>
      <c r="WKR56" s="245"/>
      <c r="WKS56" s="245"/>
      <c r="WKT56" s="245"/>
      <c r="WKU56" s="245"/>
      <c r="WKV56" s="245"/>
      <c r="WKW56" s="245"/>
      <c r="WKX56" s="245"/>
      <c r="WKY56" s="245"/>
      <c r="WKZ56" s="245"/>
      <c r="WLA56" s="245"/>
      <c r="WLB56" s="245"/>
      <c r="WLC56" s="245"/>
      <c r="WLD56" s="245"/>
      <c r="WLE56" s="245"/>
      <c r="WLF56" s="245"/>
      <c r="WLG56" s="245"/>
      <c r="WLH56" s="245"/>
      <c r="WLI56" s="245"/>
      <c r="WLJ56" s="245"/>
      <c r="WLK56" s="245"/>
      <c r="WLL56" s="245"/>
      <c r="WLM56" s="245"/>
      <c r="WLN56" s="245"/>
      <c r="WLO56" s="245"/>
      <c r="WLP56" s="245"/>
      <c r="WLQ56" s="245"/>
      <c r="WLR56" s="245"/>
      <c r="WLS56" s="245"/>
      <c r="WLT56" s="245"/>
      <c r="WLU56" s="245"/>
      <c r="WLV56" s="245"/>
      <c r="WLW56" s="245"/>
      <c r="WLX56" s="245"/>
      <c r="WLY56" s="245"/>
      <c r="WLZ56" s="245"/>
      <c r="WMA56" s="245"/>
      <c r="WMB56" s="245"/>
      <c r="WMC56" s="245"/>
      <c r="WMD56" s="245"/>
      <c r="WME56" s="245"/>
      <c r="WMF56" s="245"/>
      <c r="WMG56" s="245"/>
      <c r="WMH56" s="245"/>
      <c r="WMI56" s="245"/>
      <c r="WMJ56" s="245"/>
      <c r="WMK56" s="245"/>
      <c r="WML56" s="245"/>
      <c r="WMM56" s="245"/>
      <c r="WMN56" s="245"/>
      <c r="WMO56" s="245"/>
      <c r="WMP56" s="245"/>
      <c r="WMQ56" s="245"/>
      <c r="WMR56" s="245"/>
      <c r="WMS56" s="245"/>
      <c r="WMT56" s="245"/>
      <c r="WMU56" s="245"/>
      <c r="WMV56" s="245"/>
      <c r="WMW56" s="245"/>
      <c r="WMX56" s="245"/>
      <c r="WMY56" s="245"/>
      <c r="WMZ56" s="245"/>
      <c r="WNA56" s="245"/>
      <c r="WNB56" s="245"/>
      <c r="WNC56" s="245"/>
      <c r="WND56" s="245"/>
      <c r="WNE56" s="245"/>
      <c r="WNF56" s="245"/>
      <c r="WNG56" s="245"/>
      <c r="WNH56" s="245"/>
      <c r="WNI56" s="245"/>
      <c r="WNJ56" s="245"/>
      <c r="WNK56" s="245"/>
      <c r="WNL56" s="245"/>
      <c r="WNM56" s="245"/>
      <c r="WNN56" s="245"/>
      <c r="WNO56" s="245"/>
      <c r="WNP56" s="245"/>
      <c r="WNQ56" s="245"/>
      <c r="WNR56" s="245"/>
      <c r="WNS56" s="245"/>
      <c r="WNT56" s="245"/>
      <c r="WNU56" s="245"/>
      <c r="WNV56" s="245"/>
      <c r="WNW56" s="245"/>
      <c r="WNX56" s="245"/>
      <c r="WNY56" s="245"/>
      <c r="WNZ56" s="245"/>
      <c r="WOA56" s="245"/>
      <c r="WOB56" s="245"/>
      <c r="WOC56" s="245"/>
      <c r="WOD56" s="245"/>
      <c r="WOE56" s="245"/>
      <c r="WOF56" s="245"/>
      <c r="WOG56" s="245"/>
      <c r="WOH56" s="245"/>
      <c r="WOI56" s="245"/>
      <c r="WOJ56" s="245"/>
      <c r="WOK56" s="245"/>
      <c r="WOL56" s="245"/>
      <c r="WOM56" s="245"/>
      <c r="WON56" s="245"/>
      <c r="WOO56" s="245"/>
      <c r="WOP56" s="245"/>
      <c r="WOQ56" s="245"/>
      <c r="WOR56" s="245"/>
      <c r="WOS56" s="245"/>
      <c r="WOT56" s="245"/>
      <c r="WOU56" s="245"/>
      <c r="WOV56" s="245"/>
      <c r="WOW56" s="245"/>
      <c r="WOX56" s="245"/>
      <c r="WOY56" s="245"/>
      <c r="WOZ56" s="245"/>
      <c r="WPA56" s="245"/>
      <c r="WPB56" s="245"/>
      <c r="WPC56" s="245"/>
      <c r="WPD56" s="245"/>
      <c r="WPE56" s="245"/>
      <c r="WPF56" s="245"/>
      <c r="WPG56" s="245"/>
      <c r="WPH56" s="245"/>
      <c r="WPI56" s="245"/>
      <c r="WPJ56" s="245"/>
      <c r="WPK56" s="245"/>
      <c r="WPL56" s="245"/>
      <c r="WPM56" s="245"/>
      <c r="WPN56" s="245"/>
      <c r="WPO56" s="245"/>
      <c r="WPP56" s="245"/>
      <c r="WPQ56" s="245"/>
      <c r="WPR56" s="245"/>
      <c r="WPS56" s="245"/>
      <c r="WPT56" s="245"/>
      <c r="WPU56" s="245"/>
      <c r="WPV56" s="245"/>
      <c r="WPW56" s="245"/>
      <c r="WPX56" s="245"/>
      <c r="WPY56" s="245"/>
      <c r="WPZ56" s="245"/>
      <c r="WQA56" s="245"/>
      <c r="WQB56" s="245"/>
      <c r="WQC56" s="245"/>
      <c r="WQD56" s="245"/>
      <c r="WQE56" s="245"/>
      <c r="WQF56" s="245"/>
      <c r="WQG56" s="245"/>
      <c r="WQH56" s="245"/>
      <c r="WQI56" s="245"/>
      <c r="WQJ56" s="245"/>
      <c r="WQK56" s="245"/>
      <c r="WQL56" s="245"/>
      <c r="WQM56" s="245"/>
      <c r="WQN56" s="245"/>
      <c r="WQO56" s="245"/>
      <c r="WQP56" s="245"/>
      <c r="WQQ56" s="245"/>
      <c r="WQR56" s="245"/>
      <c r="WQS56" s="245"/>
      <c r="WQT56" s="245"/>
      <c r="WQU56" s="245"/>
      <c r="WQV56" s="245"/>
      <c r="WQW56" s="245"/>
      <c r="WQX56" s="245"/>
      <c r="WQY56" s="245"/>
      <c r="WQZ56" s="245"/>
      <c r="WRA56" s="245"/>
      <c r="WRB56" s="245"/>
      <c r="WRC56" s="245"/>
      <c r="WRD56" s="245"/>
      <c r="WRE56" s="245"/>
      <c r="WRF56" s="245"/>
      <c r="WRG56" s="245"/>
      <c r="WRH56" s="245"/>
      <c r="WRI56" s="245"/>
      <c r="WRJ56" s="245"/>
      <c r="WRK56" s="245"/>
      <c r="WRL56" s="245"/>
      <c r="WRM56" s="245"/>
      <c r="WRN56" s="245"/>
      <c r="WRO56" s="245"/>
      <c r="WRP56" s="245"/>
      <c r="WRQ56" s="245"/>
      <c r="WRR56" s="245"/>
      <c r="WRS56" s="245"/>
      <c r="WRT56" s="245"/>
      <c r="WRU56" s="245"/>
      <c r="WRV56" s="245"/>
      <c r="WRW56" s="245"/>
      <c r="WRX56" s="245"/>
      <c r="WRY56" s="245"/>
      <c r="WRZ56" s="245"/>
      <c r="WSA56" s="245"/>
      <c r="WSB56" s="245"/>
      <c r="WSC56" s="245"/>
      <c r="WSD56" s="245"/>
      <c r="WSE56" s="245"/>
      <c r="WSF56" s="245"/>
      <c r="WSG56" s="245"/>
      <c r="WSH56" s="245"/>
      <c r="WSI56" s="245"/>
      <c r="WSJ56" s="245"/>
      <c r="WSK56" s="245"/>
      <c r="WSL56" s="245"/>
      <c r="WSM56" s="245"/>
      <c r="WSN56" s="245"/>
      <c r="WSO56" s="245"/>
      <c r="WSP56" s="245"/>
      <c r="WSQ56" s="245"/>
      <c r="WSR56" s="245"/>
      <c r="WSS56" s="245"/>
      <c r="WST56" s="245"/>
      <c r="WSU56" s="245"/>
      <c r="WSV56" s="245"/>
      <c r="WSW56" s="245"/>
      <c r="WSX56" s="245"/>
      <c r="WSY56" s="245"/>
      <c r="WSZ56" s="245"/>
      <c r="WTA56" s="245"/>
      <c r="WTB56" s="245"/>
      <c r="WTC56" s="245"/>
      <c r="WTD56" s="245"/>
      <c r="WTE56" s="245"/>
      <c r="WTF56" s="245"/>
      <c r="WTG56" s="245"/>
      <c r="WTH56" s="245"/>
      <c r="WTI56" s="245"/>
      <c r="WTJ56" s="245"/>
      <c r="WTK56" s="245"/>
      <c r="WTL56" s="245"/>
      <c r="WTM56" s="245"/>
      <c r="WTN56" s="245"/>
      <c r="WTO56" s="245"/>
      <c r="WTP56" s="245"/>
      <c r="WTQ56" s="245"/>
      <c r="WTR56" s="245"/>
      <c r="WTS56" s="245"/>
      <c r="WTT56" s="245"/>
      <c r="WTU56" s="245"/>
      <c r="WTV56" s="245"/>
      <c r="WTW56" s="245"/>
      <c r="WTX56" s="245"/>
      <c r="WTY56" s="245"/>
      <c r="WTZ56" s="245"/>
      <c r="WUA56" s="245"/>
      <c r="WUB56" s="245"/>
      <c r="WUC56" s="245"/>
      <c r="WUD56" s="245"/>
      <c r="WUE56" s="245"/>
      <c r="WUF56" s="245"/>
      <c r="WUG56" s="245"/>
      <c r="WUH56" s="245"/>
      <c r="WUI56" s="245"/>
      <c r="WUJ56" s="245"/>
      <c r="WUK56" s="245"/>
      <c r="WUL56" s="245"/>
      <c r="WUM56" s="245"/>
      <c r="WUN56" s="245"/>
      <c r="WUO56" s="245"/>
      <c r="WUP56" s="245"/>
      <c r="WUQ56" s="245"/>
      <c r="WUR56" s="245"/>
      <c r="WUS56" s="245"/>
      <c r="WUT56" s="245"/>
      <c r="WUU56" s="245"/>
      <c r="WUV56" s="245"/>
      <c r="WUW56" s="245"/>
      <c r="WUX56" s="245"/>
      <c r="WUY56" s="245"/>
      <c r="WUZ56" s="245"/>
      <c r="WVA56" s="245"/>
      <c r="WVB56" s="245"/>
      <c r="WVC56" s="245"/>
      <c r="WVD56" s="245"/>
      <c r="WVE56" s="245"/>
      <c r="WVF56" s="245"/>
      <c r="WVG56" s="245"/>
      <c r="WVH56" s="245"/>
      <c r="WVI56" s="245"/>
      <c r="WVJ56" s="245"/>
      <c r="WVK56" s="245"/>
      <c r="WVL56" s="245"/>
      <c r="WVM56" s="245"/>
      <c r="WVN56" s="245"/>
      <c r="WVO56" s="245"/>
      <c r="WVP56" s="245"/>
      <c r="WVQ56" s="245"/>
      <c r="WVR56" s="245"/>
      <c r="WVS56" s="245"/>
      <c r="WVT56" s="245"/>
      <c r="WVU56" s="245"/>
      <c r="WVV56" s="245"/>
      <c r="WVW56" s="245"/>
      <c r="WVX56" s="245"/>
      <c r="WVY56" s="245"/>
      <c r="WVZ56" s="245"/>
      <c r="WWA56" s="245"/>
      <c r="WWB56" s="245"/>
      <c r="WWC56" s="245"/>
      <c r="WWD56" s="245"/>
      <c r="WWE56" s="245"/>
      <c r="WWF56" s="245"/>
      <c r="WWG56" s="245"/>
      <c r="WWH56" s="245"/>
      <c r="WWI56" s="245"/>
      <c r="WWJ56" s="245"/>
      <c r="WWK56" s="245"/>
      <c r="WWL56" s="245"/>
      <c r="WWM56" s="245"/>
      <c r="WWN56" s="245"/>
      <c r="WWO56" s="245"/>
      <c r="WWP56" s="245"/>
      <c r="WWQ56" s="245"/>
      <c r="WWR56" s="245"/>
      <c r="WWS56" s="245"/>
      <c r="WWT56" s="245"/>
      <c r="WWU56" s="245"/>
      <c r="WWV56" s="245"/>
      <c r="WWW56" s="245"/>
      <c r="WWX56" s="245"/>
      <c r="WWY56" s="245"/>
      <c r="WWZ56" s="245"/>
      <c r="WXA56" s="245"/>
      <c r="WXB56" s="245"/>
      <c r="WXC56" s="245"/>
      <c r="WXD56" s="245"/>
      <c r="WXE56" s="245"/>
      <c r="WXF56" s="245"/>
      <c r="WXG56" s="245"/>
      <c r="WXH56" s="245"/>
      <c r="WXI56" s="245"/>
      <c r="WXJ56" s="245"/>
      <c r="WXK56" s="245"/>
      <c r="WXL56" s="245"/>
      <c r="WXM56" s="245"/>
      <c r="WXN56" s="245"/>
      <c r="WXO56" s="245"/>
      <c r="WXP56" s="245"/>
      <c r="WXQ56" s="245"/>
      <c r="WXR56" s="245"/>
      <c r="WXS56" s="245"/>
      <c r="WXT56" s="245"/>
      <c r="WXU56" s="245"/>
      <c r="WXV56" s="245"/>
      <c r="WXW56" s="245"/>
      <c r="WXX56" s="245"/>
      <c r="WXY56" s="245"/>
      <c r="WXZ56" s="245"/>
      <c r="WYA56" s="245"/>
      <c r="WYB56" s="245"/>
      <c r="WYC56" s="245"/>
      <c r="WYD56" s="245"/>
      <c r="WYE56" s="245"/>
      <c r="WYF56" s="245"/>
      <c r="WYG56" s="245"/>
      <c r="WYH56" s="245"/>
      <c r="WYI56" s="245"/>
      <c r="WYJ56" s="245"/>
      <c r="WYK56" s="245"/>
      <c r="WYL56" s="245"/>
      <c r="WYM56" s="245"/>
      <c r="WYN56" s="245"/>
      <c r="WYO56" s="245"/>
      <c r="WYP56" s="245"/>
      <c r="WYQ56" s="245"/>
      <c r="WYR56" s="245"/>
      <c r="WYS56" s="245"/>
      <c r="WYT56" s="245"/>
      <c r="WYU56" s="245"/>
      <c r="WYV56" s="245"/>
      <c r="WYW56" s="245"/>
      <c r="WYX56" s="245"/>
      <c r="WYY56" s="245"/>
      <c r="WYZ56" s="245"/>
      <c r="WZA56" s="245"/>
      <c r="WZB56" s="245"/>
      <c r="WZC56" s="245"/>
      <c r="WZD56" s="245"/>
      <c r="WZE56" s="245"/>
      <c r="WZF56" s="245"/>
      <c r="WZG56" s="245"/>
      <c r="WZH56" s="245"/>
      <c r="WZI56" s="245"/>
      <c r="WZJ56" s="245"/>
      <c r="WZK56" s="245"/>
      <c r="WZL56" s="245"/>
      <c r="WZM56" s="245"/>
      <c r="WZN56" s="245"/>
      <c r="WZO56" s="245"/>
      <c r="WZP56" s="245"/>
      <c r="WZQ56" s="245"/>
      <c r="WZR56" s="245"/>
      <c r="WZS56" s="245"/>
      <c r="WZT56" s="245"/>
      <c r="WZU56" s="245"/>
      <c r="WZV56" s="245"/>
      <c r="WZW56" s="245"/>
      <c r="WZX56" s="245"/>
      <c r="WZY56" s="245"/>
      <c r="WZZ56" s="245"/>
      <c r="XAA56" s="245"/>
      <c r="XAB56" s="245"/>
      <c r="XAC56" s="245"/>
      <c r="XAD56" s="245"/>
      <c r="XAE56" s="245"/>
      <c r="XAF56" s="245"/>
      <c r="XAG56" s="245"/>
      <c r="XAH56" s="245"/>
      <c r="XAI56" s="245"/>
      <c r="XAJ56" s="245"/>
      <c r="XAK56" s="245"/>
      <c r="XAL56" s="245"/>
      <c r="XAM56" s="245"/>
      <c r="XAN56" s="245"/>
      <c r="XAO56" s="245"/>
      <c r="XAP56" s="245"/>
      <c r="XAQ56" s="245"/>
      <c r="XAR56" s="245"/>
      <c r="XAS56" s="245"/>
      <c r="XAT56" s="245"/>
      <c r="XAU56" s="245"/>
      <c r="XAV56" s="245"/>
      <c r="XAW56" s="245"/>
      <c r="XAX56" s="245"/>
      <c r="XAY56" s="245"/>
      <c r="XAZ56" s="245"/>
      <c r="XBA56" s="245"/>
      <c r="XBB56" s="245"/>
      <c r="XBC56" s="245"/>
      <c r="XBD56" s="245"/>
      <c r="XBE56" s="245"/>
      <c r="XBF56" s="245"/>
      <c r="XBG56" s="245"/>
      <c r="XBH56" s="245"/>
      <c r="XBI56" s="245"/>
      <c r="XBJ56" s="245"/>
      <c r="XBK56" s="245"/>
      <c r="XBL56" s="245"/>
      <c r="XBM56" s="245"/>
      <c r="XBN56" s="245"/>
      <c r="XBO56" s="245"/>
      <c r="XBP56" s="245"/>
      <c r="XBQ56" s="245"/>
      <c r="XBR56" s="245"/>
      <c r="XBS56" s="245"/>
      <c r="XBT56" s="245"/>
      <c r="XBU56" s="245"/>
      <c r="XBV56" s="245"/>
      <c r="XBW56" s="245"/>
      <c r="XBX56" s="245"/>
      <c r="XBY56" s="245"/>
      <c r="XBZ56" s="245"/>
      <c r="XCA56" s="245"/>
      <c r="XCB56" s="245"/>
      <c r="XCC56" s="245"/>
      <c r="XCD56" s="245"/>
      <c r="XCE56" s="245"/>
      <c r="XCF56" s="245"/>
      <c r="XCG56" s="245"/>
      <c r="XCH56" s="245"/>
      <c r="XCI56" s="245"/>
      <c r="XCJ56" s="245"/>
      <c r="XCK56" s="245"/>
      <c r="XCL56" s="245"/>
      <c r="XCM56" s="245"/>
      <c r="XCN56" s="245"/>
      <c r="XCO56" s="245"/>
      <c r="XCP56" s="245"/>
      <c r="XCQ56" s="245"/>
      <c r="XCR56" s="245"/>
      <c r="XCS56" s="245"/>
      <c r="XCT56" s="245"/>
      <c r="XCU56" s="245"/>
      <c r="XCV56" s="245"/>
      <c r="XCW56" s="245"/>
      <c r="XCX56" s="245"/>
      <c r="XCY56" s="245"/>
      <c r="XCZ56" s="245"/>
      <c r="XDA56" s="245"/>
      <c r="XDB56" s="245"/>
      <c r="XDC56" s="245"/>
      <c r="XDD56" s="245"/>
      <c r="XDE56" s="245"/>
      <c r="XDF56" s="245"/>
      <c r="XDG56" s="245"/>
      <c r="XDH56" s="245"/>
      <c r="XDI56" s="245"/>
      <c r="XDJ56" s="245"/>
      <c r="XDK56" s="245"/>
      <c r="XDL56" s="245"/>
      <c r="XDM56" s="245"/>
      <c r="XDN56" s="245"/>
      <c r="XDO56" s="245"/>
      <c r="XDP56" s="245"/>
      <c r="XDQ56" s="245"/>
      <c r="XDR56" s="245"/>
      <c r="XDS56" s="245"/>
      <c r="XDT56" s="245"/>
      <c r="XDU56" s="245"/>
      <c r="XDV56" s="245"/>
      <c r="XDW56" s="245"/>
      <c r="XDX56" s="245"/>
      <c r="XDY56" s="245"/>
      <c r="XDZ56" s="245"/>
      <c r="XEA56" s="245"/>
      <c r="XEB56" s="245"/>
      <c r="XEC56" s="245"/>
      <c r="XED56" s="245"/>
      <c r="XEE56" s="245"/>
      <c r="XEF56" s="245"/>
      <c r="XEG56" s="245"/>
      <c r="XEH56" s="245"/>
      <c r="XEI56" s="245"/>
      <c r="XEJ56" s="245"/>
      <c r="XEK56" s="245"/>
      <c r="XEL56" s="245"/>
    </row>
  </sheetData>
  <mergeCells count="20">
    <mergeCell ref="W3:W4"/>
    <mergeCell ref="B3:D4"/>
    <mergeCell ref="R3:R4"/>
    <mergeCell ref="T3:T4"/>
    <mergeCell ref="U3:U4"/>
    <mergeCell ref="O3:O4"/>
    <mergeCell ref="P3:P4"/>
    <mergeCell ref="J3:J4"/>
    <mergeCell ref="Q3:Q4"/>
    <mergeCell ref="L3:L4"/>
    <mergeCell ref="S3:S4"/>
    <mergeCell ref="N3:N4"/>
    <mergeCell ref="H3:H4"/>
    <mergeCell ref="I3:I4"/>
    <mergeCell ref="E3:E4"/>
    <mergeCell ref="F3:F4"/>
    <mergeCell ref="M3:M4"/>
    <mergeCell ref="K3:K4"/>
    <mergeCell ref="V3:V4"/>
    <mergeCell ref="G3:G4"/>
  </mergeCells>
  <conditionalFormatting sqref="K3:N3 E3:H3">
    <cfRule type="cellIs" dxfId="144" priority="89" operator="lessThan">
      <formula>0</formula>
    </cfRule>
  </conditionalFormatting>
  <conditionalFormatting sqref="N3">
    <cfRule type="cellIs" dxfId="143" priority="91" operator="lessThan">
      <formula>0</formula>
    </cfRule>
  </conditionalFormatting>
  <conditionalFormatting sqref="S3:U3">
    <cfRule type="cellIs" dxfId="142" priority="90" operator="lessThan">
      <formula>0</formula>
    </cfRule>
  </conditionalFormatting>
  <conditionalFormatting sqref="U3">
    <cfRule type="cellIs" dxfId="141" priority="94" operator="lessThan">
      <formula>0</formula>
    </cfRule>
  </conditionalFormatting>
  <conditionalFormatting sqref="T3">
    <cfRule type="cellIs" dxfId="140" priority="93" operator="lessThan">
      <formula>0</formula>
    </cfRule>
  </conditionalFormatting>
  <conditionalFormatting sqref="R3">
    <cfRule type="cellIs" dxfId="139" priority="92" operator="lessThan">
      <formula>0</formula>
    </cfRule>
  </conditionalFormatting>
  <conditionalFormatting sqref="J3">
    <cfRule type="cellIs" dxfId="138" priority="81" operator="lessThan">
      <formula>0</formula>
    </cfRule>
  </conditionalFormatting>
  <conditionalFormatting sqref="O3">
    <cfRule type="cellIs" dxfId="137" priority="83" operator="lessThan">
      <formula>0</formula>
    </cfRule>
  </conditionalFormatting>
  <conditionalFormatting sqref="Q3">
    <cfRule type="cellIs" dxfId="136" priority="82" operator="lessThan">
      <formula>0</formula>
    </cfRule>
  </conditionalFormatting>
  <conditionalFormatting sqref="P3">
    <cfRule type="cellIs" dxfId="135" priority="84" operator="lessThan">
      <formula>0</formula>
    </cfRule>
  </conditionalFormatting>
  <conditionalFormatting sqref="V3:W3">
    <cfRule type="cellIs" dxfId="134" priority="64" operator="lessThan">
      <formula>0</formula>
    </cfRule>
  </conditionalFormatting>
  <conditionalFormatting sqref="W3">
    <cfRule type="cellIs" dxfId="133" priority="66" operator="lessThan">
      <formula>0</formula>
    </cfRule>
  </conditionalFormatting>
  <conditionalFormatting sqref="V3">
    <cfRule type="cellIs" dxfId="132" priority="65" operator="lessThan">
      <formula>0</formula>
    </cfRule>
  </conditionalFormatting>
  <conditionalFormatting sqref="H3">
    <cfRule type="cellIs" dxfId="131" priority="59" operator="lessThan">
      <formula>0</formula>
    </cfRule>
  </conditionalFormatting>
  <conditionalFormatting sqref="F3:G3">
    <cfRule type="cellIs" dxfId="130" priority="56" operator="lessThan">
      <formula>0</formula>
    </cfRule>
  </conditionalFormatting>
  <conditionalFormatting sqref="F3:G3">
    <cfRule type="cellIs" dxfId="129" priority="57" operator="lessThan">
      <formula>0</formula>
    </cfRule>
  </conditionalFormatting>
  <conditionalFormatting sqref="M3:N3">
    <cfRule type="cellIs" dxfId="128" priority="52" operator="lessThan">
      <formula>0</formula>
    </cfRule>
  </conditionalFormatting>
  <conditionalFormatting sqref="M3:N3">
    <cfRule type="cellIs" dxfId="127" priority="53" operator="lessThan">
      <formula>0</formula>
    </cfRule>
  </conditionalFormatting>
  <conditionalFormatting sqref="I3:J3">
    <cfRule type="cellIs" dxfId="126" priority="46" operator="lessThan">
      <formula>0</formula>
    </cfRule>
  </conditionalFormatting>
  <conditionalFormatting sqref="I3:J3">
    <cfRule type="cellIs" dxfId="125" priority="47" operator="lessThan">
      <formula>0</formula>
    </cfRule>
  </conditionalFormatting>
  <conditionalFormatting sqref="E3">
    <cfRule type="cellIs" dxfId="124" priority="1" operator="lessThan">
      <formula>0</formula>
    </cfRule>
  </conditionalFormatting>
  <conditionalFormatting sqref="E3">
    <cfRule type="cellIs" dxfId="123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I21:J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23D8-26F0-482C-9955-0CBF73F4B53A}">
  <sheetPr codeName="Plan3"/>
  <dimension ref="A1:Y41"/>
  <sheetViews>
    <sheetView showGridLines="0" zoomScale="90" zoomScaleNormal="90" workbookViewId="0">
      <pane ySplit="4" topLeftCell="A5" activePane="bottomLeft" state="frozen"/>
      <selection activeCell="B3" sqref="B3:E34"/>
      <selection pane="bottomLeft" activeCell="AD9" sqref="AD9"/>
    </sheetView>
  </sheetViews>
  <sheetFormatPr defaultRowHeight="15" customHeight="1"/>
  <cols>
    <col min="1" max="1" width="1.7109375" style="258" customWidth="1"/>
    <col min="2" max="2" width="5.5703125" style="259" customWidth="1"/>
    <col min="3" max="3" width="56.42578125" style="259" customWidth="1"/>
    <col min="4" max="4" width="10.7109375" style="260" hidden="1" customWidth="1"/>
    <col min="5" max="5" width="11.85546875" style="258" customWidth="1" collapsed="1"/>
    <col min="6" max="6" width="13.42578125" style="258" customWidth="1"/>
    <col min="7" max="7" width="11.85546875" style="258" hidden="1" customWidth="1"/>
    <col min="8" max="8" width="15.7109375" style="258" hidden="1" customWidth="1"/>
    <col min="9" max="12" width="11.85546875" style="258" hidden="1" customWidth="1"/>
    <col min="13" max="16" width="11.5703125" style="258" hidden="1" customWidth="1"/>
    <col min="17" max="20" width="15.7109375" style="258" hidden="1" customWidth="1"/>
    <col min="21" max="21" width="13.42578125" style="258" hidden="1" customWidth="1"/>
    <col min="22" max="24" width="15.7109375" style="258" hidden="1" customWidth="1"/>
    <col min="25" max="25" width="1.7109375" style="258" customWidth="1" collapsed="1"/>
    <col min="26" max="16384" width="9.140625" style="258"/>
  </cols>
  <sheetData>
    <row r="1" spans="1:24" ht="7.5" customHeight="1"/>
    <row r="2" spans="1:24" ht="15" customHeight="1">
      <c r="B2" s="278"/>
      <c r="C2" s="278"/>
      <c r="D2" s="279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</row>
    <row r="3" spans="1:24" s="262" customFormat="1" ht="20.100000000000001" customHeight="1">
      <c r="B3" s="484" t="s">
        <v>1227</v>
      </c>
      <c r="C3" s="485"/>
      <c r="D3" s="486"/>
      <c r="E3" s="467" t="s">
        <v>1358</v>
      </c>
      <c r="F3" s="467" t="s">
        <v>1333</v>
      </c>
      <c r="G3" s="467">
        <v>2020</v>
      </c>
      <c r="H3" s="467">
        <v>2019</v>
      </c>
      <c r="I3" s="467" t="s">
        <v>1351</v>
      </c>
      <c r="J3" s="467" t="s">
        <v>1303</v>
      </c>
      <c r="K3" s="467" t="s">
        <v>1352</v>
      </c>
      <c r="L3" s="467" t="s">
        <v>1305</v>
      </c>
      <c r="M3" s="467" t="s">
        <v>1341</v>
      </c>
      <c r="N3" s="467" t="s">
        <v>1283</v>
      </c>
      <c r="O3" s="467" t="s">
        <v>1345</v>
      </c>
      <c r="P3" s="467" t="s">
        <v>1285</v>
      </c>
      <c r="Q3" s="467" t="s">
        <v>1304</v>
      </c>
      <c r="R3" s="467" t="s">
        <v>1306</v>
      </c>
      <c r="S3" s="467" t="s">
        <v>1284</v>
      </c>
      <c r="T3" s="467" t="s">
        <v>1286</v>
      </c>
      <c r="U3" s="467" t="s">
        <v>1280</v>
      </c>
      <c r="V3" s="467" t="s">
        <v>1281</v>
      </c>
      <c r="W3" s="467">
        <v>2018</v>
      </c>
      <c r="X3" s="467">
        <v>2017</v>
      </c>
    </row>
    <row r="4" spans="1:24" s="262" customFormat="1" ht="20.100000000000001" customHeight="1">
      <c r="B4" s="487"/>
      <c r="C4" s="488"/>
      <c r="D4" s="489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</row>
    <row r="5" spans="1:24" ht="18" customHeight="1">
      <c r="B5" s="281" t="s">
        <v>1246</v>
      </c>
      <c r="C5" s="282" t="s">
        <v>1270</v>
      </c>
      <c r="D5" s="412"/>
      <c r="E5" s="283">
        <f t="shared" ref="E5:G5" si="0">SUM(E6:E7)</f>
        <v>567000</v>
      </c>
      <c r="F5" s="283">
        <f>SUM(F6:F7)</f>
        <v>116000</v>
      </c>
      <c r="G5" s="283">
        <f t="shared" si="0"/>
        <v>437837000</v>
      </c>
      <c r="H5" s="283">
        <f t="shared" ref="H5" si="1">SUM(H6:H7)</f>
        <v>209136000</v>
      </c>
      <c r="I5" s="283">
        <f t="shared" ref="I5:P5" si="2">SUM(I6:I7)</f>
        <v>331322000</v>
      </c>
      <c r="J5" s="283">
        <f t="shared" si="2"/>
        <v>208453000</v>
      </c>
      <c r="K5" s="283">
        <f t="shared" si="2"/>
        <v>437088000</v>
      </c>
      <c r="L5" s="283">
        <f t="shared" si="2"/>
        <v>208983000</v>
      </c>
      <c r="M5" s="283">
        <f t="shared" si="2"/>
        <v>105650000</v>
      </c>
      <c r="N5" s="283">
        <f t="shared" si="2"/>
        <v>249000</v>
      </c>
      <c r="O5" s="283">
        <f t="shared" si="2"/>
        <v>105766000</v>
      </c>
      <c r="P5" s="283">
        <f t="shared" si="2"/>
        <v>529000</v>
      </c>
      <c r="Q5" s="283">
        <f t="shared" ref="Q5:X5" si="3">SUM(Q6:Q7)</f>
        <v>25000</v>
      </c>
      <c r="R5" s="283">
        <f t="shared" si="3"/>
        <v>164000</v>
      </c>
      <c r="S5" s="283">
        <f t="shared" si="3"/>
        <v>30000</v>
      </c>
      <c r="T5" s="283">
        <f t="shared" si="3"/>
        <v>139000</v>
      </c>
      <c r="U5" s="283">
        <f t="shared" si="3"/>
        <v>280000</v>
      </c>
      <c r="V5" s="283">
        <f t="shared" si="3"/>
        <v>109000</v>
      </c>
      <c r="W5" s="283">
        <f t="shared" si="3"/>
        <v>1203000</v>
      </c>
      <c r="X5" s="283">
        <f t="shared" si="3"/>
        <v>124000</v>
      </c>
    </row>
    <row r="6" spans="1:24" s="263" customFormat="1" ht="18" customHeight="1">
      <c r="A6" s="258"/>
      <c r="B6" s="271"/>
      <c r="C6" s="272" t="s">
        <v>1274</v>
      </c>
      <c r="D6" s="413"/>
      <c r="E6" s="274">
        <v>0</v>
      </c>
      <c r="F6" s="274">
        <v>0</v>
      </c>
      <c r="G6" s="274">
        <v>431556000</v>
      </c>
      <c r="H6" s="274">
        <v>208254000</v>
      </c>
      <c r="I6" s="274">
        <v>331305000</v>
      </c>
      <c r="J6" s="274">
        <v>208254000</v>
      </c>
      <c r="K6" s="274">
        <v>435732000</v>
      </c>
      <c r="L6" s="274">
        <v>208254000</v>
      </c>
      <c r="M6" s="274">
        <v>104427000</v>
      </c>
      <c r="N6" s="274">
        <v>0</v>
      </c>
      <c r="O6" s="274">
        <v>104427000</v>
      </c>
      <c r="P6" s="274">
        <v>0</v>
      </c>
      <c r="Q6" s="274">
        <v>0</v>
      </c>
      <c r="R6" s="274">
        <v>0</v>
      </c>
      <c r="S6" s="274">
        <v>0</v>
      </c>
      <c r="T6" s="274">
        <v>0</v>
      </c>
      <c r="U6" s="274">
        <v>0</v>
      </c>
      <c r="V6" s="274">
        <v>0</v>
      </c>
      <c r="W6" s="274">
        <v>0</v>
      </c>
      <c r="X6" s="274">
        <v>76000</v>
      </c>
    </row>
    <row r="7" spans="1:24" s="263" customFormat="1" ht="18" customHeight="1">
      <c r="A7" s="258"/>
      <c r="B7" s="271"/>
      <c r="C7" s="272" t="s">
        <v>363</v>
      </c>
      <c r="D7" s="413"/>
      <c r="E7" s="274">
        <v>567000</v>
      </c>
      <c r="F7" s="274">
        <v>116000</v>
      </c>
      <c r="G7" s="274">
        <v>6281000</v>
      </c>
      <c r="H7" s="274">
        <v>882000</v>
      </c>
      <c r="I7" s="274">
        <v>17000</v>
      </c>
      <c r="J7" s="274">
        <v>199000</v>
      </c>
      <c r="K7" s="274">
        <v>1356000</v>
      </c>
      <c r="L7" s="274">
        <v>729000</v>
      </c>
      <c r="M7" s="274">
        <v>1223000</v>
      </c>
      <c r="N7" s="274">
        <v>249000</v>
      </c>
      <c r="O7" s="274">
        <v>1339000</v>
      </c>
      <c r="P7" s="274">
        <v>529000</v>
      </c>
      <c r="Q7" s="274">
        <v>25000</v>
      </c>
      <c r="R7" s="274">
        <v>164000</v>
      </c>
      <c r="S7" s="274">
        <v>30000</v>
      </c>
      <c r="T7" s="274">
        <v>139000</v>
      </c>
      <c r="U7" s="274">
        <v>280000</v>
      </c>
      <c r="V7" s="274">
        <v>109000</v>
      </c>
      <c r="W7" s="274">
        <v>1203000</v>
      </c>
      <c r="X7" s="274">
        <v>48000</v>
      </c>
    </row>
    <row r="8" spans="1:24" ht="18" customHeight="1">
      <c r="B8" s="268" t="s">
        <v>1247</v>
      </c>
      <c r="C8" s="269" t="s">
        <v>1248</v>
      </c>
      <c r="D8" s="414"/>
      <c r="E8" s="270">
        <f t="shared" ref="E8:G8" si="4">SUM(E9:E15)</f>
        <v>-24447000</v>
      </c>
      <c r="F8" s="270">
        <f>SUM(F9:F15)</f>
        <v>3928000</v>
      </c>
      <c r="G8" s="270">
        <f t="shared" si="4"/>
        <v>-24584000</v>
      </c>
      <c r="H8" s="270">
        <f>SUM(H9:H15)</f>
        <v>-73786000</v>
      </c>
      <c r="I8" s="270">
        <f t="shared" ref="I8:K8" si="5">SUM(I9:I15)</f>
        <v>-17275000</v>
      </c>
      <c r="J8" s="270">
        <f>SUM(J9:J15)</f>
        <v>-22730000</v>
      </c>
      <c r="K8" s="270">
        <f t="shared" si="5"/>
        <v>-16453000</v>
      </c>
      <c r="L8" s="270">
        <f>SUM(L9:L15)</f>
        <v>-32074000</v>
      </c>
      <c r="M8" s="270">
        <f t="shared" ref="M8:X8" si="6">SUM(M9:M15)</f>
        <v>-3107000</v>
      </c>
      <c r="N8" s="270">
        <f t="shared" si="6"/>
        <v>-4798000</v>
      </c>
      <c r="O8" s="270">
        <f t="shared" si="6"/>
        <v>822000</v>
      </c>
      <c r="P8" s="270">
        <f t="shared" si="6"/>
        <v>-9341000</v>
      </c>
      <c r="Q8" s="270">
        <f t="shared" si="6"/>
        <v>-4682000</v>
      </c>
      <c r="R8" s="270">
        <f t="shared" si="6"/>
        <v>-7833000</v>
      </c>
      <c r="S8" s="270">
        <f t="shared" si="6"/>
        <v>-2466000</v>
      </c>
      <c r="T8" s="270">
        <f t="shared" si="6"/>
        <v>-3150000</v>
      </c>
      <c r="U8" s="270">
        <f t="shared" si="6"/>
        <v>-4545000</v>
      </c>
      <c r="V8" s="270">
        <f t="shared" si="6"/>
        <v>-683000</v>
      </c>
      <c r="W8" s="270">
        <f t="shared" si="6"/>
        <v>-118909000</v>
      </c>
      <c r="X8" s="270">
        <f t="shared" si="6"/>
        <v>-43247000</v>
      </c>
    </row>
    <row r="9" spans="1:24" s="263" customFormat="1" ht="18" customHeight="1">
      <c r="A9" s="258"/>
      <c r="B9" s="271"/>
      <c r="C9" s="272" t="s">
        <v>1250</v>
      </c>
      <c r="D9" s="413"/>
      <c r="E9" s="274">
        <v>77456000</v>
      </c>
      <c r="F9" s="274">
        <v>3425000</v>
      </c>
      <c r="G9" s="274">
        <v>3203000</v>
      </c>
      <c r="H9" s="274">
        <v>-40143000</v>
      </c>
      <c r="I9" s="274">
        <v>-516000</v>
      </c>
      <c r="J9" s="274">
        <v>-1141000</v>
      </c>
      <c r="K9" s="274">
        <v>3444000</v>
      </c>
      <c r="L9" s="274">
        <v>-3329000</v>
      </c>
      <c r="M9" s="274">
        <v>535000</v>
      </c>
      <c r="N9" s="274">
        <v>-1111000</v>
      </c>
      <c r="O9" s="274">
        <v>3960000</v>
      </c>
      <c r="P9" s="274">
        <v>-2187000</v>
      </c>
      <c r="Q9" s="274">
        <v>0</v>
      </c>
      <c r="R9" s="274">
        <v>0</v>
      </c>
      <c r="S9" s="274">
        <v>0</v>
      </c>
      <c r="T9" s="274">
        <v>0</v>
      </c>
      <c r="U9" s="274">
        <v>-1076000</v>
      </c>
      <c r="V9" s="274">
        <v>0</v>
      </c>
      <c r="W9" s="274">
        <v>-95514000</v>
      </c>
      <c r="X9" s="274">
        <v>-37907000</v>
      </c>
    </row>
    <row r="10" spans="1:24" s="263" customFormat="1" ht="18" customHeight="1">
      <c r="A10" s="258"/>
      <c r="B10" s="271"/>
      <c r="C10" s="272" t="s">
        <v>1251</v>
      </c>
      <c r="D10" s="413"/>
      <c r="E10" s="274">
        <v>-1033000</v>
      </c>
      <c r="F10" s="274">
        <v>-1116000</v>
      </c>
      <c r="G10" s="274">
        <v>-4827000</v>
      </c>
      <c r="H10" s="274">
        <v>-7718000</v>
      </c>
      <c r="I10" s="274">
        <v>-726000</v>
      </c>
      <c r="J10" s="274">
        <v>-2930000</v>
      </c>
      <c r="K10" s="274">
        <v>-3473000</v>
      </c>
      <c r="L10" s="274">
        <v>-5443000</v>
      </c>
      <c r="M10" s="274">
        <v>-1631000</v>
      </c>
      <c r="N10" s="274">
        <v>-1068000</v>
      </c>
      <c r="O10" s="274">
        <v>-2747000</v>
      </c>
      <c r="P10" s="274">
        <v>-2512000</v>
      </c>
      <c r="Q10" s="274">
        <v>-770000</v>
      </c>
      <c r="R10" s="274">
        <v>-2118000</v>
      </c>
      <c r="S10" s="274">
        <v>-722000</v>
      </c>
      <c r="T10" s="274">
        <v>-1348000</v>
      </c>
      <c r="U10" s="274">
        <v>-1444000</v>
      </c>
      <c r="V10" s="274">
        <v>-627000</v>
      </c>
      <c r="W10" s="274">
        <v>-3719000</v>
      </c>
      <c r="X10" s="274">
        <v>-2604000</v>
      </c>
    </row>
    <row r="11" spans="1:24" s="263" customFormat="1" ht="18" customHeight="1">
      <c r="A11" s="258"/>
      <c r="B11" s="271"/>
      <c r="C11" s="272" t="s">
        <v>1290</v>
      </c>
      <c r="D11" s="413"/>
      <c r="E11" s="274">
        <v>0</v>
      </c>
      <c r="F11" s="274">
        <v>0</v>
      </c>
      <c r="G11" s="274">
        <v>0</v>
      </c>
      <c r="H11" s="274">
        <v>4000</v>
      </c>
      <c r="I11" s="274">
        <v>0</v>
      </c>
      <c r="J11" s="274">
        <v>1000</v>
      </c>
      <c r="K11" s="274">
        <v>0</v>
      </c>
      <c r="L11" s="274">
        <v>3000</v>
      </c>
      <c r="M11" s="274">
        <v>0</v>
      </c>
      <c r="N11" s="274">
        <v>2000</v>
      </c>
      <c r="O11" s="274">
        <v>0</v>
      </c>
      <c r="P11" s="274">
        <v>2000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</row>
    <row r="12" spans="1:24" s="263" customFormat="1" ht="18" customHeight="1">
      <c r="A12" s="258"/>
      <c r="B12" s="271"/>
      <c r="C12" s="272" t="s">
        <v>1252</v>
      </c>
      <c r="D12" s="413"/>
      <c r="E12" s="274">
        <v>-50000</v>
      </c>
      <c r="F12" s="274">
        <v>-2056000</v>
      </c>
      <c r="G12" s="274">
        <v>-3054000</v>
      </c>
      <c r="H12" s="274">
        <v>-4412000</v>
      </c>
      <c r="I12" s="274">
        <v>-405000</v>
      </c>
      <c r="J12" s="274">
        <v>-766000</v>
      </c>
      <c r="K12" s="274">
        <v>-2644000</v>
      </c>
      <c r="L12" s="274">
        <v>-3845000</v>
      </c>
      <c r="M12" s="274">
        <v>-183000</v>
      </c>
      <c r="N12" s="274">
        <v>-2256000</v>
      </c>
      <c r="O12" s="274">
        <v>-2239000</v>
      </c>
      <c r="P12" s="274">
        <v>-3079000</v>
      </c>
      <c r="Q12" s="274">
        <v>-2607000</v>
      </c>
      <c r="R12" s="274">
        <v>-4267000</v>
      </c>
      <c r="S12" s="274">
        <v>-1661000</v>
      </c>
      <c r="T12" s="274">
        <v>-1661000</v>
      </c>
      <c r="U12" s="274">
        <v>-823000</v>
      </c>
      <c r="V12" s="274">
        <v>0</v>
      </c>
      <c r="W12" s="274">
        <v>-6270000</v>
      </c>
      <c r="X12" s="274">
        <v>-2511000</v>
      </c>
    </row>
    <row r="13" spans="1:24" s="263" customFormat="1" ht="18" customHeight="1">
      <c r="A13" s="258"/>
      <c r="B13" s="271"/>
      <c r="C13" s="272" t="s">
        <v>261</v>
      </c>
      <c r="D13" s="413"/>
      <c r="E13" s="274">
        <v>-2095000</v>
      </c>
      <c r="F13" s="274">
        <v>-853000</v>
      </c>
      <c r="G13" s="274">
        <v>-13884000</v>
      </c>
      <c r="H13" s="274">
        <v>-16416000</v>
      </c>
      <c r="I13" s="274">
        <v>-13014000</v>
      </c>
      <c r="J13" s="274">
        <v>-16397000</v>
      </c>
      <c r="K13" s="274">
        <v>-13868000</v>
      </c>
      <c r="L13" s="274">
        <v>-16416000</v>
      </c>
      <c r="M13" s="274">
        <v>-1000</v>
      </c>
      <c r="N13" s="274">
        <v>0</v>
      </c>
      <c r="O13" s="274">
        <v>-854000</v>
      </c>
      <c r="P13" s="274">
        <v>-19000</v>
      </c>
      <c r="Q13" s="274">
        <v>-133000</v>
      </c>
      <c r="R13" s="274">
        <v>-133000</v>
      </c>
      <c r="S13" s="274">
        <v>0</v>
      </c>
      <c r="T13" s="274">
        <v>0</v>
      </c>
      <c r="U13" s="274">
        <v>-19000</v>
      </c>
      <c r="V13" s="274">
        <v>0</v>
      </c>
      <c r="W13" s="274">
        <v>-901000</v>
      </c>
      <c r="X13" s="274">
        <v>-16000</v>
      </c>
    </row>
    <row r="14" spans="1:24" s="263" customFormat="1" ht="18" customHeight="1">
      <c r="A14" s="258"/>
      <c r="B14" s="271"/>
      <c r="C14" s="272" t="s">
        <v>1135</v>
      </c>
      <c r="D14" s="413"/>
      <c r="E14" s="274">
        <v>-98719000</v>
      </c>
      <c r="F14" s="274">
        <v>4543000</v>
      </c>
      <c r="G14" s="274">
        <v>-5750000</v>
      </c>
      <c r="H14" s="274">
        <v>-3785000</v>
      </c>
      <c r="I14" s="274">
        <v>-2604000</v>
      </c>
      <c r="J14" s="274">
        <v>-1229000</v>
      </c>
      <c r="K14" s="274">
        <v>342000</v>
      </c>
      <c r="L14" s="274">
        <v>-2684000</v>
      </c>
      <c r="M14" s="274">
        <v>-1597000</v>
      </c>
      <c r="N14" s="274">
        <v>-324000</v>
      </c>
      <c r="O14" s="274">
        <v>2945000</v>
      </c>
      <c r="P14" s="274">
        <v>-1455000</v>
      </c>
      <c r="Q14" s="274">
        <v>0</v>
      </c>
      <c r="R14" s="274">
        <v>-1000</v>
      </c>
      <c r="S14" s="274">
        <v>0</v>
      </c>
      <c r="T14" s="274">
        <v>0</v>
      </c>
      <c r="U14" s="274">
        <v>-1131000</v>
      </c>
      <c r="V14" s="274">
        <v>0</v>
      </c>
      <c r="W14" s="274">
        <v>-11127000</v>
      </c>
      <c r="X14" s="274">
        <v>2000</v>
      </c>
    </row>
    <row r="15" spans="1:24" s="263" customFormat="1" ht="18" customHeight="1">
      <c r="A15" s="258"/>
      <c r="B15" s="271"/>
      <c r="C15" s="272" t="s">
        <v>258</v>
      </c>
      <c r="D15" s="413"/>
      <c r="E15" s="274">
        <v>-6000</v>
      </c>
      <c r="F15" s="274">
        <v>-15000</v>
      </c>
      <c r="G15" s="274">
        <v>-272000</v>
      </c>
      <c r="H15" s="274">
        <v>-1316000</v>
      </c>
      <c r="I15" s="274">
        <v>-10000</v>
      </c>
      <c r="J15" s="274">
        <v>-268000</v>
      </c>
      <c r="K15" s="274">
        <v>-254000</v>
      </c>
      <c r="L15" s="274">
        <v>-360000</v>
      </c>
      <c r="M15" s="274">
        <v>-230000</v>
      </c>
      <c r="N15" s="274">
        <v>-41000</v>
      </c>
      <c r="O15" s="274">
        <v>-243000</v>
      </c>
      <c r="P15" s="274">
        <v>-91000</v>
      </c>
      <c r="Q15" s="274">
        <v>-1172000</v>
      </c>
      <c r="R15" s="274">
        <v>-1314000</v>
      </c>
      <c r="S15" s="274">
        <v>-83000</v>
      </c>
      <c r="T15" s="274">
        <v>-141000</v>
      </c>
      <c r="U15" s="274">
        <v>-52000</v>
      </c>
      <c r="V15" s="274">
        <v>-56000</v>
      </c>
      <c r="W15" s="274">
        <v>-1378000</v>
      </c>
      <c r="X15" s="274">
        <v>-211000</v>
      </c>
    </row>
    <row r="16" spans="1:24" ht="18" customHeight="1">
      <c r="B16" s="268" t="s">
        <v>1253</v>
      </c>
      <c r="C16" s="269" t="s">
        <v>1254</v>
      </c>
      <c r="D16" s="414"/>
      <c r="E16" s="270">
        <f t="shared" ref="E16:G16" si="7">E5+E8</f>
        <v>-23880000</v>
      </c>
      <c r="F16" s="270">
        <f>F5+F8</f>
        <v>4044000</v>
      </c>
      <c r="G16" s="270">
        <f t="shared" si="7"/>
        <v>413253000</v>
      </c>
      <c r="H16" s="270">
        <f>H5+H8</f>
        <v>135350000</v>
      </c>
      <c r="I16" s="270">
        <f t="shared" ref="I16:K16" si="8">I5+I8</f>
        <v>314047000</v>
      </c>
      <c r="J16" s="270">
        <f>J5+J8</f>
        <v>185723000</v>
      </c>
      <c r="K16" s="270">
        <f t="shared" si="8"/>
        <v>420635000</v>
      </c>
      <c r="L16" s="270">
        <f>L5+L8</f>
        <v>176909000</v>
      </c>
      <c r="M16" s="270">
        <f t="shared" ref="M16:X16" si="9">M5+M8</f>
        <v>102543000</v>
      </c>
      <c r="N16" s="270">
        <f t="shared" si="9"/>
        <v>-4549000</v>
      </c>
      <c r="O16" s="270">
        <f t="shared" si="9"/>
        <v>106588000</v>
      </c>
      <c r="P16" s="270">
        <f t="shared" si="9"/>
        <v>-8812000</v>
      </c>
      <c r="Q16" s="270">
        <f t="shared" si="9"/>
        <v>-4657000</v>
      </c>
      <c r="R16" s="270">
        <f t="shared" si="9"/>
        <v>-7669000</v>
      </c>
      <c r="S16" s="270">
        <f t="shared" si="9"/>
        <v>-2436000</v>
      </c>
      <c r="T16" s="270">
        <f t="shared" si="9"/>
        <v>-3011000</v>
      </c>
      <c r="U16" s="270">
        <f t="shared" si="9"/>
        <v>-4265000</v>
      </c>
      <c r="V16" s="270">
        <f t="shared" si="9"/>
        <v>-574000</v>
      </c>
      <c r="W16" s="270">
        <f t="shared" si="9"/>
        <v>-117706000</v>
      </c>
      <c r="X16" s="270">
        <f t="shared" si="9"/>
        <v>-43123000</v>
      </c>
    </row>
    <row r="17" spans="1:25" s="265" customFormat="1" ht="18" customHeight="1">
      <c r="A17" s="264"/>
      <c r="B17" s="268" t="s">
        <v>1255</v>
      </c>
      <c r="C17" s="273" t="s">
        <v>1249</v>
      </c>
      <c r="D17" s="413"/>
      <c r="E17" s="276">
        <v>-396000</v>
      </c>
      <c r="F17" s="276">
        <v>-1545000</v>
      </c>
      <c r="G17" s="276">
        <v>-3233000</v>
      </c>
      <c r="H17" s="276">
        <v>-17204000</v>
      </c>
      <c r="I17" s="276">
        <v>-396000</v>
      </c>
      <c r="J17" s="276">
        <v>-4301000</v>
      </c>
      <c r="K17" s="276">
        <v>-2838000</v>
      </c>
      <c r="L17" s="276">
        <v>-12903000</v>
      </c>
      <c r="M17" s="276">
        <v>-896000</v>
      </c>
      <c r="N17" s="276">
        <v>-4301000</v>
      </c>
      <c r="O17" s="276">
        <v>-2442000</v>
      </c>
      <c r="P17" s="276">
        <v>-8602000</v>
      </c>
      <c r="Q17" s="276">
        <v>-5156000</v>
      </c>
      <c r="R17" s="276">
        <v>-15469000</v>
      </c>
      <c r="S17" s="276">
        <v>-5156000</v>
      </c>
      <c r="T17" s="276">
        <v>-10313000</v>
      </c>
      <c r="U17" s="276">
        <v>-4301000</v>
      </c>
      <c r="V17" s="276">
        <v>-5156000</v>
      </c>
      <c r="W17" s="276">
        <v>-20626000</v>
      </c>
      <c r="X17" s="276">
        <v>-20626000</v>
      </c>
    </row>
    <row r="18" spans="1:25" s="265" customFormat="1" ht="18" customHeight="1">
      <c r="A18" s="264"/>
      <c r="B18" s="268" t="s">
        <v>1258</v>
      </c>
      <c r="C18" s="269" t="s">
        <v>1318</v>
      </c>
      <c r="D18" s="413"/>
      <c r="E18" s="276">
        <f t="shared" ref="E18:G18" si="10">SUM(E16:E17)</f>
        <v>-24276000</v>
      </c>
      <c r="F18" s="276">
        <f>SUM(F16:F17)</f>
        <v>2499000</v>
      </c>
      <c r="G18" s="276">
        <f t="shared" si="10"/>
        <v>410020000</v>
      </c>
      <c r="H18" s="276">
        <f>SUM(H16:H17)</f>
        <v>118146000</v>
      </c>
      <c r="I18" s="276">
        <f t="shared" ref="I18:K18" si="11">SUM(I16:I17)</f>
        <v>313651000</v>
      </c>
      <c r="J18" s="276">
        <f>SUM(J16:J17)</f>
        <v>181422000</v>
      </c>
      <c r="K18" s="276">
        <f t="shared" si="11"/>
        <v>417797000</v>
      </c>
      <c r="L18" s="276">
        <f>SUM(L16:L17)</f>
        <v>164006000</v>
      </c>
      <c r="M18" s="276">
        <f t="shared" ref="M18:Y18" si="12">SUM(M16:M17)</f>
        <v>101647000</v>
      </c>
      <c r="N18" s="276">
        <f t="shared" si="12"/>
        <v>-8850000</v>
      </c>
      <c r="O18" s="276">
        <f t="shared" si="12"/>
        <v>104146000</v>
      </c>
      <c r="P18" s="276">
        <f t="shared" si="12"/>
        <v>-17414000</v>
      </c>
      <c r="Q18" s="276">
        <f t="shared" si="12"/>
        <v>-9813000</v>
      </c>
      <c r="R18" s="276">
        <f t="shared" si="12"/>
        <v>-23138000</v>
      </c>
      <c r="S18" s="276">
        <f t="shared" si="12"/>
        <v>-7592000</v>
      </c>
      <c r="T18" s="276">
        <f t="shared" si="12"/>
        <v>-13324000</v>
      </c>
      <c r="U18" s="276">
        <f t="shared" si="12"/>
        <v>-8566000</v>
      </c>
      <c r="V18" s="276">
        <f t="shared" si="12"/>
        <v>-5730000</v>
      </c>
      <c r="W18" s="276">
        <f t="shared" si="12"/>
        <v>-138332000</v>
      </c>
      <c r="X18" s="276">
        <f t="shared" si="12"/>
        <v>-63749000</v>
      </c>
      <c r="Y18" s="276">
        <f t="shared" si="12"/>
        <v>0</v>
      </c>
    </row>
    <row r="19" spans="1:25" ht="18" customHeight="1">
      <c r="B19" s="268" t="s">
        <v>1259</v>
      </c>
      <c r="C19" s="269" t="s">
        <v>1256</v>
      </c>
      <c r="D19" s="414"/>
      <c r="E19" s="270">
        <f t="shared" ref="E19:G19" si="13">SUM(E20:E22)</f>
        <v>28507000</v>
      </c>
      <c r="F19" s="270">
        <f>SUM(F20:F22)</f>
        <v>53264000</v>
      </c>
      <c r="G19" s="270">
        <f t="shared" si="13"/>
        <v>342101000</v>
      </c>
      <c r="H19" s="270">
        <f>SUM(H20:H22)</f>
        <v>393405000</v>
      </c>
      <c r="I19" s="270">
        <f t="shared" ref="I19:K19" si="14">SUM(I20:I22)</f>
        <v>112663000</v>
      </c>
      <c r="J19" s="270">
        <f>SUM(J20:J22)</f>
        <v>92395000</v>
      </c>
      <c r="K19" s="270">
        <f t="shared" si="14"/>
        <v>232621000</v>
      </c>
      <c r="L19" s="270">
        <f>SUM(L20:L22)</f>
        <v>227321000</v>
      </c>
      <c r="M19" s="270">
        <f t="shared" ref="M19:P19" si="15">SUM(M20:M22)</f>
        <v>66695000</v>
      </c>
      <c r="N19" s="270">
        <f t="shared" si="15"/>
        <v>90981000</v>
      </c>
      <c r="O19" s="270">
        <f t="shared" si="15"/>
        <v>119959000</v>
      </c>
      <c r="P19" s="270">
        <f t="shared" si="15"/>
        <v>134926000</v>
      </c>
      <c r="Q19" s="270">
        <f t="shared" ref="Q19:X19" si="16">SUM(Q20:Q22)</f>
        <v>54982000</v>
      </c>
      <c r="R19" s="270">
        <f t="shared" si="16"/>
        <v>158807000</v>
      </c>
      <c r="S19" s="270">
        <f t="shared" si="16"/>
        <v>56087000</v>
      </c>
      <c r="T19" s="270">
        <f t="shared" si="16"/>
        <v>103825000</v>
      </c>
      <c r="U19" s="270">
        <f>SUM(U20:U22)</f>
        <v>43945000</v>
      </c>
      <c r="V19" s="270">
        <f t="shared" si="16"/>
        <v>47738000</v>
      </c>
      <c r="W19" s="270">
        <f t="shared" si="16"/>
        <v>191894000</v>
      </c>
      <c r="X19" s="270">
        <f t="shared" si="16"/>
        <v>152754000</v>
      </c>
    </row>
    <row r="20" spans="1:25" s="263" customFormat="1" ht="18" customHeight="1">
      <c r="A20" s="258"/>
      <c r="B20" s="271"/>
      <c r="C20" s="272" t="s">
        <v>1119</v>
      </c>
      <c r="D20" s="413"/>
      <c r="E20" s="274">
        <v>27224000</v>
      </c>
      <c r="F20" s="274">
        <v>42854000</v>
      </c>
      <c r="G20" s="274">
        <v>311763000</v>
      </c>
      <c r="H20" s="274">
        <v>317656000</v>
      </c>
      <c r="I20" s="274">
        <v>109002000</v>
      </c>
      <c r="J20" s="274">
        <v>72878000</v>
      </c>
      <c r="K20" s="274">
        <v>211108000</v>
      </c>
      <c r="L20" s="274">
        <v>170421000</v>
      </c>
      <c r="M20" s="274">
        <v>59252000</v>
      </c>
      <c r="N20" s="274">
        <v>72188000</v>
      </c>
      <c r="O20" s="274">
        <v>102106000</v>
      </c>
      <c r="P20" s="274">
        <v>97543000</v>
      </c>
      <c r="Q20" s="274">
        <v>4328000</v>
      </c>
      <c r="R20" s="274">
        <v>66664000</v>
      </c>
      <c r="S20" s="274">
        <v>41094000</v>
      </c>
      <c r="T20" s="274">
        <v>62336000</v>
      </c>
      <c r="U20" s="274">
        <v>25355000</v>
      </c>
      <c r="V20" s="274">
        <v>21242000</v>
      </c>
      <c r="W20" s="274">
        <v>79910000</v>
      </c>
      <c r="X20" s="274">
        <v>37934000</v>
      </c>
    </row>
    <row r="21" spans="1:25" s="263" customFormat="1" ht="18" customHeight="1">
      <c r="A21" s="258"/>
      <c r="B21" s="271"/>
      <c r="C21" s="272" t="s">
        <v>1257</v>
      </c>
      <c r="D21" s="413"/>
      <c r="E21" s="274">
        <v>0</v>
      </c>
      <c r="F21" s="274">
        <v>0</v>
      </c>
      <c r="G21" s="274">
        <v>0</v>
      </c>
      <c r="H21" s="274">
        <v>45000</v>
      </c>
      <c r="I21" s="274">
        <v>0</v>
      </c>
      <c r="J21" s="274">
        <v>0</v>
      </c>
      <c r="K21" s="274">
        <v>0</v>
      </c>
      <c r="L21" s="274">
        <v>45000</v>
      </c>
      <c r="M21" s="274">
        <v>0</v>
      </c>
      <c r="N21" s="274">
        <v>45000</v>
      </c>
      <c r="O21" s="274">
        <v>0</v>
      </c>
      <c r="P21" s="274">
        <v>45000</v>
      </c>
      <c r="Q21" s="274">
        <v>22986000</v>
      </c>
      <c r="R21" s="274">
        <v>23034000</v>
      </c>
      <c r="S21" s="274">
        <v>16000</v>
      </c>
      <c r="T21" s="274">
        <v>48000</v>
      </c>
      <c r="U21" s="274">
        <v>0</v>
      </c>
      <c r="V21" s="274">
        <v>32000</v>
      </c>
      <c r="W21" s="274">
        <v>23034000</v>
      </c>
      <c r="X21" s="274">
        <v>440000</v>
      </c>
    </row>
    <row r="22" spans="1:25" s="263" customFormat="1" ht="18" customHeight="1">
      <c r="A22" s="258"/>
      <c r="B22" s="271"/>
      <c r="C22" s="272" t="s">
        <v>1245</v>
      </c>
      <c r="D22" s="413"/>
      <c r="E22" s="274">
        <v>1283000</v>
      </c>
      <c r="F22" s="274">
        <v>10410000</v>
      </c>
      <c r="G22" s="274">
        <v>30338000</v>
      </c>
      <c r="H22" s="274">
        <v>75704000</v>
      </c>
      <c r="I22" s="274">
        <v>3661000</v>
      </c>
      <c r="J22" s="274">
        <v>19517000</v>
      </c>
      <c r="K22" s="274">
        <v>21513000</v>
      </c>
      <c r="L22" s="274">
        <v>56855000</v>
      </c>
      <c r="M22" s="274">
        <v>7443000</v>
      </c>
      <c r="N22" s="274">
        <v>18748000</v>
      </c>
      <c r="O22" s="274">
        <v>17853000</v>
      </c>
      <c r="P22" s="274">
        <v>37338000</v>
      </c>
      <c r="Q22" s="274">
        <v>27668000</v>
      </c>
      <c r="R22" s="274">
        <v>69109000</v>
      </c>
      <c r="S22" s="274">
        <v>14977000</v>
      </c>
      <c r="T22" s="274">
        <v>41441000</v>
      </c>
      <c r="U22" s="274">
        <v>18590000</v>
      </c>
      <c r="V22" s="274">
        <v>26464000</v>
      </c>
      <c r="W22" s="274">
        <v>88950000</v>
      </c>
      <c r="X22" s="274">
        <v>114380000</v>
      </c>
    </row>
    <row r="23" spans="1:25" ht="18" customHeight="1">
      <c r="B23" s="268" t="s">
        <v>1319</v>
      </c>
      <c r="C23" s="269" t="s">
        <v>1320</v>
      </c>
      <c r="D23" s="414"/>
      <c r="E23" s="270">
        <f t="shared" ref="E23:G23" si="17">E18+E19</f>
        <v>4231000</v>
      </c>
      <c r="F23" s="270">
        <f>F18+F19</f>
        <v>55763000</v>
      </c>
      <c r="G23" s="270">
        <f t="shared" si="17"/>
        <v>752121000</v>
      </c>
      <c r="H23" s="270">
        <f>H18+H19</f>
        <v>511551000</v>
      </c>
      <c r="I23" s="270">
        <f t="shared" ref="I23:K23" si="18">I18+I19</f>
        <v>426314000</v>
      </c>
      <c r="J23" s="270">
        <f>J18+J19</f>
        <v>273817000</v>
      </c>
      <c r="K23" s="270">
        <f t="shared" si="18"/>
        <v>650418000</v>
      </c>
      <c r="L23" s="270">
        <f>L18+L19</f>
        <v>391327000</v>
      </c>
      <c r="M23" s="270">
        <f t="shared" ref="M23:W23" si="19">M18+M19</f>
        <v>168342000</v>
      </c>
      <c r="N23" s="270">
        <f t="shared" si="19"/>
        <v>82131000</v>
      </c>
      <c r="O23" s="270">
        <f t="shared" si="19"/>
        <v>224105000</v>
      </c>
      <c r="P23" s="270">
        <f t="shared" si="19"/>
        <v>117512000</v>
      </c>
      <c r="Q23" s="270">
        <f t="shared" si="19"/>
        <v>45169000</v>
      </c>
      <c r="R23" s="270">
        <f t="shared" si="19"/>
        <v>135669000</v>
      </c>
      <c r="S23" s="270">
        <f t="shared" si="19"/>
        <v>48495000</v>
      </c>
      <c r="T23" s="270">
        <f t="shared" si="19"/>
        <v>90501000</v>
      </c>
      <c r="U23" s="270">
        <f t="shared" si="19"/>
        <v>35379000</v>
      </c>
      <c r="V23" s="270">
        <f t="shared" si="19"/>
        <v>42008000</v>
      </c>
      <c r="W23" s="270">
        <f t="shared" si="19"/>
        <v>53562000</v>
      </c>
      <c r="X23" s="270">
        <f>X16+X19</f>
        <v>109631000</v>
      </c>
    </row>
    <row r="24" spans="1:25" ht="18" customHeight="1">
      <c r="B24" s="268" t="s">
        <v>1321</v>
      </c>
      <c r="C24" s="269" t="s">
        <v>1260</v>
      </c>
      <c r="D24" s="413"/>
      <c r="E24" s="270">
        <f>(E25+E30+E34+E36)</f>
        <v>-4231000</v>
      </c>
      <c r="F24" s="270">
        <f>(F25+F30+F34+F36)</f>
        <v>-55763000</v>
      </c>
      <c r="G24" s="270">
        <f>(G25+G30+G34+G36)</f>
        <v>-752121000</v>
      </c>
      <c r="H24" s="270">
        <f>(H25+H30+H34+H36)-1000</f>
        <v>-511551000</v>
      </c>
      <c r="I24" s="270">
        <f>(I25+I30+I34+I36)</f>
        <v>-426314000</v>
      </c>
      <c r="J24" s="270">
        <f>J25+J30+J34+J36</f>
        <v>-273817000</v>
      </c>
      <c r="K24" s="270">
        <f>(K25+K30+K34+K36)</f>
        <v>-650418000</v>
      </c>
      <c r="L24" s="270">
        <f>L25+L30+L34+L36</f>
        <v>-391327000</v>
      </c>
      <c r="M24" s="270">
        <f>(M25+M30+M34+M36)</f>
        <v>-168342000</v>
      </c>
      <c r="N24" s="270">
        <f>N25+N30+N34+N36</f>
        <v>-82131000</v>
      </c>
      <c r="O24" s="270">
        <f>(O25+O30+O34+O36)</f>
        <v>-224105000</v>
      </c>
      <c r="P24" s="270">
        <f>P25+P30+P34+P36</f>
        <v>-117512000</v>
      </c>
      <c r="Q24" s="270">
        <f t="shared" ref="Q24:X24" si="20">Q25+Q30+Q34+Q36</f>
        <v>-45169000</v>
      </c>
      <c r="R24" s="270">
        <f t="shared" si="20"/>
        <v>-135671000</v>
      </c>
      <c r="S24" s="270">
        <f t="shared" si="20"/>
        <v>-48495000</v>
      </c>
      <c r="T24" s="270">
        <f t="shared" si="20"/>
        <v>-90501000</v>
      </c>
      <c r="U24" s="270">
        <f t="shared" si="20"/>
        <v>-35379000</v>
      </c>
      <c r="V24" s="270">
        <f t="shared" si="20"/>
        <v>-42008000</v>
      </c>
      <c r="W24" s="270">
        <f t="shared" si="20"/>
        <v>-53559000</v>
      </c>
      <c r="X24" s="270">
        <f t="shared" si="20"/>
        <v>-89003000</v>
      </c>
    </row>
    <row r="25" spans="1:25" s="265" customFormat="1" ht="18" customHeight="1">
      <c r="A25" s="264"/>
      <c r="B25" s="275"/>
      <c r="C25" s="273" t="s">
        <v>1261</v>
      </c>
      <c r="D25" s="413"/>
      <c r="E25" s="276">
        <f t="shared" ref="E25:G25" si="21">SUM(E26:E29)</f>
        <v>-5671000</v>
      </c>
      <c r="F25" s="276">
        <f>SUM(F26:F29)</f>
        <v>-5489000</v>
      </c>
      <c r="G25" s="276">
        <f t="shared" si="21"/>
        <v>-21983000</v>
      </c>
      <c r="H25" s="276">
        <f>SUM(H26:H29)</f>
        <v>-17952000</v>
      </c>
      <c r="I25" s="276">
        <f t="shared" ref="I25:K25" si="22">SUM(I26:I29)</f>
        <v>-4762000</v>
      </c>
      <c r="J25" s="276">
        <f>SUM(J26:J29)</f>
        <v>-4583000</v>
      </c>
      <c r="K25" s="276">
        <f t="shared" si="22"/>
        <v>-15672000</v>
      </c>
      <c r="L25" s="276">
        <f>SUM(L26:L29)</f>
        <v>-12417000</v>
      </c>
      <c r="M25" s="276">
        <f t="shared" ref="M25:X25" si="23">SUM(M26:M29)</f>
        <v>-5422000</v>
      </c>
      <c r="N25" s="276">
        <f t="shared" si="23"/>
        <v>-4457000</v>
      </c>
      <c r="O25" s="276">
        <f t="shared" si="23"/>
        <v>-10911000</v>
      </c>
      <c r="P25" s="276">
        <f t="shared" si="23"/>
        <v>-7834000</v>
      </c>
      <c r="Q25" s="276">
        <f t="shared" si="23"/>
        <v>-3225000</v>
      </c>
      <c r="R25" s="276">
        <f t="shared" si="23"/>
        <v>-9700000</v>
      </c>
      <c r="S25" s="276">
        <f t="shared" si="23"/>
        <v>-3876000</v>
      </c>
      <c r="T25" s="276">
        <f t="shared" si="23"/>
        <v>-6475000</v>
      </c>
      <c r="U25" s="276">
        <f t="shared" si="23"/>
        <v>-3376000</v>
      </c>
      <c r="V25" s="276">
        <f t="shared" si="23"/>
        <v>-2599000</v>
      </c>
      <c r="W25" s="276">
        <f t="shared" si="23"/>
        <v>-12909000</v>
      </c>
      <c r="X25" s="276">
        <f t="shared" si="23"/>
        <v>-9587000</v>
      </c>
    </row>
    <row r="26" spans="1:25" s="263" customFormat="1" ht="18" customHeight="1">
      <c r="A26" s="258"/>
      <c r="B26" s="271"/>
      <c r="C26" s="277" t="s">
        <v>1262</v>
      </c>
      <c r="D26" s="413"/>
      <c r="E26" s="274">
        <v>-3918000</v>
      </c>
      <c r="F26" s="274">
        <v>-3787000</v>
      </c>
      <c r="G26" s="274">
        <v>-15912000</v>
      </c>
      <c r="H26" s="274">
        <v>-13155000</v>
      </c>
      <c r="I26" s="274">
        <v>-3831000</v>
      </c>
      <c r="J26" s="274">
        <v>-3001000</v>
      </c>
      <c r="K26" s="274">
        <v>-11406000</v>
      </c>
      <c r="L26" s="274">
        <v>-9208000</v>
      </c>
      <c r="M26" s="274">
        <v>-3788000</v>
      </c>
      <c r="N26" s="274">
        <v>-3422000</v>
      </c>
      <c r="O26" s="274">
        <v>-7576000</v>
      </c>
      <c r="P26" s="274">
        <v>-6207000</v>
      </c>
      <c r="Q26" s="274">
        <v>-2620000</v>
      </c>
      <c r="R26" s="274">
        <v>-7094000</v>
      </c>
      <c r="S26" s="274">
        <v>-2372000</v>
      </c>
      <c r="T26" s="274">
        <v>-4474000</v>
      </c>
      <c r="U26" s="274">
        <v>-2785000</v>
      </c>
      <c r="V26" s="274">
        <v>-2102000</v>
      </c>
      <c r="W26" s="274">
        <v>-9657000</v>
      </c>
      <c r="X26" s="274">
        <v>-7548000</v>
      </c>
    </row>
    <row r="27" spans="1:25" s="263" customFormat="1" ht="18" customHeight="1">
      <c r="A27" s="258"/>
      <c r="B27" s="271"/>
      <c r="C27" s="277" t="s">
        <v>1263</v>
      </c>
      <c r="D27" s="413"/>
      <c r="E27" s="274">
        <v>-1504000</v>
      </c>
      <c r="F27" s="274">
        <v>-1391000</v>
      </c>
      <c r="G27" s="274">
        <v>-4190000</v>
      </c>
      <c r="H27" s="274">
        <v>-3129000</v>
      </c>
      <c r="I27" s="274">
        <v>-613000</v>
      </c>
      <c r="J27" s="274">
        <v>-1333000</v>
      </c>
      <c r="K27" s="274">
        <v>-2648000</v>
      </c>
      <c r="L27" s="274">
        <v>-2520000</v>
      </c>
      <c r="M27" s="274">
        <v>-644000</v>
      </c>
      <c r="N27" s="274">
        <v>-809000</v>
      </c>
      <c r="O27" s="274">
        <v>-2035000</v>
      </c>
      <c r="P27" s="274">
        <v>-1187000</v>
      </c>
      <c r="Q27" s="274">
        <v>-392000</v>
      </c>
      <c r="R27" s="274">
        <v>-1442000</v>
      </c>
      <c r="S27" s="274">
        <v>-722000</v>
      </c>
      <c r="T27" s="274">
        <v>-1050000</v>
      </c>
      <c r="U27" s="274">
        <v>-378000</v>
      </c>
      <c r="V27" s="274">
        <v>-328000</v>
      </c>
      <c r="W27" s="274">
        <v>-1854000</v>
      </c>
      <c r="X27" s="274">
        <v>-1462000</v>
      </c>
    </row>
    <row r="28" spans="1:25" s="263" customFormat="1" ht="18" customHeight="1">
      <c r="A28" s="258"/>
      <c r="B28" s="271"/>
      <c r="C28" s="277" t="s">
        <v>1264</v>
      </c>
      <c r="D28" s="413"/>
      <c r="E28" s="274">
        <v>-249000</v>
      </c>
      <c r="F28" s="274">
        <v>-311000</v>
      </c>
      <c r="G28" s="274">
        <v>-1165000</v>
      </c>
      <c r="H28" s="274">
        <v>-1024000</v>
      </c>
      <c r="I28" s="274">
        <v>-318000</v>
      </c>
      <c r="J28" s="274">
        <v>-249000</v>
      </c>
      <c r="K28" s="274">
        <v>-902000</v>
      </c>
      <c r="L28" s="274">
        <v>-689000</v>
      </c>
      <c r="M28" s="274">
        <v>-274000</v>
      </c>
      <c r="N28" s="274">
        <v>-226000</v>
      </c>
      <c r="O28" s="274">
        <v>-584000</v>
      </c>
      <c r="P28" s="274">
        <v>-440000</v>
      </c>
      <c r="Q28" s="274">
        <v>-213000</v>
      </c>
      <c r="R28" s="274">
        <v>-611000</v>
      </c>
      <c r="S28" s="274">
        <v>-229000</v>
      </c>
      <c r="T28" s="274">
        <v>-398000</v>
      </c>
      <c r="U28" s="274">
        <v>-213000</v>
      </c>
      <c r="V28" s="274">
        <v>-169000</v>
      </c>
      <c r="W28" s="274">
        <v>-845000</v>
      </c>
      <c r="X28" s="274">
        <v>-577000</v>
      </c>
    </row>
    <row r="29" spans="1:25" s="263" customFormat="1" ht="18" customHeight="1">
      <c r="A29" s="258"/>
      <c r="B29" s="271"/>
      <c r="C29" s="277" t="s">
        <v>1144</v>
      </c>
      <c r="D29" s="413"/>
      <c r="E29" s="274">
        <v>0</v>
      </c>
      <c r="F29" s="274">
        <v>0</v>
      </c>
      <c r="G29" s="274">
        <v>-716000</v>
      </c>
      <c r="H29" s="274">
        <v>-644000</v>
      </c>
      <c r="I29" s="274">
        <v>0</v>
      </c>
      <c r="J29" s="274">
        <v>0</v>
      </c>
      <c r="K29" s="274">
        <v>-716000</v>
      </c>
      <c r="L29" s="274">
        <v>0</v>
      </c>
      <c r="M29" s="274">
        <v>-716000</v>
      </c>
      <c r="N29" s="274">
        <v>0</v>
      </c>
      <c r="O29" s="274">
        <v>-716000</v>
      </c>
      <c r="P29" s="274">
        <v>0</v>
      </c>
      <c r="Q29" s="274">
        <v>0</v>
      </c>
      <c r="R29" s="274">
        <v>-553000</v>
      </c>
      <c r="S29" s="274">
        <v>-553000</v>
      </c>
      <c r="T29" s="274">
        <v>-553000</v>
      </c>
      <c r="U29" s="274">
        <v>0</v>
      </c>
      <c r="V29" s="274">
        <v>0</v>
      </c>
      <c r="W29" s="274">
        <v>-553000</v>
      </c>
      <c r="X29" s="274">
        <v>0</v>
      </c>
    </row>
    <row r="30" spans="1:25" s="265" customFormat="1" ht="18" customHeight="1">
      <c r="A30" s="264"/>
      <c r="B30" s="275"/>
      <c r="C30" s="273" t="s">
        <v>1265</v>
      </c>
      <c r="D30" s="413"/>
      <c r="E30" s="276">
        <f t="shared" ref="E30:G30" si="24">SUM(E31:E33)</f>
        <v>23937000</v>
      </c>
      <c r="F30" s="276">
        <f>SUM(F31:F33)</f>
        <v>-12017000</v>
      </c>
      <c r="G30" s="276">
        <f t="shared" si="24"/>
        <v>-68184000</v>
      </c>
      <c r="H30" s="276">
        <f t="shared" ref="H30" si="25">SUM(H31:H33)</f>
        <v>-103005000</v>
      </c>
      <c r="I30" s="276">
        <f t="shared" ref="I30:P30" si="26">SUM(I31:I33)</f>
        <v>-96406000</v>
      </c>
      <c r="J30" s="276">
        <f t="shared" si="26"/>
        <v>-79905000</v>
      </c>
      <c r="K30" s="276">
        <f t="shared" si="26"/>
        <v>-41871000</v>
      </c>
      <c r="L30" s="276">
        <f t="shared" si="26"/>
        <v>-99376000</v>
      </c>
      <c r="M30" s="276">
        <f t="shared" si="26"/>
        <v>66551000</v>
      </c>
      <c r="N30" s="276">
        <f t="shared" si="26"/>
        <v>-10059000</v>
      </c>
      <c r="O30" s="276">
        <f t="shared" si="26"/>
        <v>54534000</v>
      </c>
      <c r="P30" s="276">
        <f t="shared" si="26"/>
        <v>-19471000</v>
      </c>
      <c r="Q30" s="276">
        <f t="shared" ref="Q30:X30" si="27">SUM(Q31:Q33)</f>
        <v>-21358000</v>
      </c>
      <c r="R30" s="276">
        <f t="shared" si="27"/>
        <v>-34985000</v>
      </c>
      <c r="S30" s="276">
        <f t="shared" si="27"/>
        <v>-9125000</v>
      </c>
      <c r="T30" s="276">
        <f t="shared" si="27"/>
        <v>-13627000</v>
      </c>
      <c r="U30" s="276">
        <f>SUM(U31:U33)</f>
        <v>-9411000</v>
      </c>
      <c r="V30" s="276">
        <f t="shared" si="27"/>
        <v>-4503000</v>
      </c>
      <c r="W30" s="276">
        <f>SUM(W31:W33)</f>
        <v>-896000</v>
      </c>
      <c r="X30" s="276">
        <f t="shared" si="27"/>
        <v>-33165000</v>
      </c>
    </row>
    <row r="31" spans="1:25" s="263" customFormat="1" ht="18" customHeight="1">
      <c r="A31" s="258"/>
      <c r="B31" s="271"/>
      <c r="C31" s="277" t="s">
        <v>1141</v>
      </c>
      <c r="D31" s="413"/>
      <c r="E31" s="274">
        <v>21453000</v>
      </c>
      <c r="F31" s="274">
        <v>-8590000</v>
      </c>
      <c r="G31" s="274">
        <v>-52094000</v>
      </c>
      <c r="H31" s="274">
        <v>-90101000</v>
      </c>
      <c r="I31" s="274">
        <v>-94544000</v>
      </c>
      <c r="J31" s="274">
        <v>-76694000</v>
      </c>
      <c r="K31" s="274">
        <v>-33569000</v>
      </c>
      <c r="L31" s="274">
        <v>-90483000</v>
      </c>
      <c r="M31" s="274">
        <v>69565000</v>
      </c>
      <c r="N31" s="274">
        <v>-7130000</v>
      </c>
      <c r="O31" s="274">
        <v>60975000</v>
      </c>
      <c r="P31" s="274">
        <v>-13789000</v>
      </c>
      <c r="Q31" s="274">
        <v>-15196000</v>
      </c>
      <c r="R31" s="274">
        <v>-25060000</v>
      </c>
      <c r="S31" s="274">
        <v>-6549000</v>
      </c>
      <c r="T31" s="274">
        <v>-9864000</v>
      </c>
      <c r="U31" s="274">
        <v>-6658000</v>
      </c>
      <c r="V31" s="274">
        <v>-3315000</v>
      </c>
      <c r="W31" s="274">
        <v>9817000</v>
      </c>
      <c r="X31" s="274">
        <v>-26282000</v>
      </c>
    </row>
    <row r="32" spans="1:25" s="263" customFormat="1" ht="18" customHeight="1">
      <c r="A32" s="258"/>
      <c r="B32" s="271"/>
      <c r="C32" s="277" t="s">
        <v>1266</v>
      </c>
      <c r="D32" s="413"/>
      <c r="E32" s="274">
        <v>-744000</v>
      </c>
      <c r="F32" s="274">
        <v>-813000</v>
      </c>
      <c r="G32" s="274">
        <v>-3298000</v>
      </c>
      <c r="H32" s="274">
        <v>-3008000</v>
      </c>
      <c r="I32" s="274">
        <v>-884000</v>
      </c>
      <c r="J32" s="274">
        <v>-759000</v>
      </c>
      <c r="K32" s="274">
        <v>-2521000</v>
      </c>
      <c r="L32" s="274">
        <v>-2089000</v>
      </c>
      <c r="M32" s="274">
        <v>-824000</v>
      </c>
      <c r="N32" s="274">
        <v>-643000</v>
      </c>
      <c r="O32" s="274">
        <v>-1637000</v>
      </c>
      <c r="P32" s="274">
        <v>-1330000</v>
      </c>
      <c r="Q32" s="274">
        <v>-615000</v>
      </c>
      <c r="R32" s="274">
        <v>-1834000</v>
      </c>
      <c r="S32" s="274">
        <v>-703000</v>
      </c>
      <c r="T32" s="274">
        <v>-1219000</v>
      </c>
      <c r="U32" s="274">
        <v>-687000</v>
      </c>
      <c r="V32" s="274">
        <v>-516000</v>
      </c>
      <c r="W32" s="274">
        <v>-2633000</v>
      </c>
      <c r="X32" s="274">
        <v>-1781000</v>
      </c>
    </row>
    <row r="33" spans="1:24" s="263" customFormat="1" ht="18" customHeight="1">
      <c r="A33" s="258"/>
      <c r="B33" s="271"/>
      <c r="C33" s="277" t="s">
        <v>1267</v>
      </c>
      <c r="D33" s="413"/>
      <c r="E33" s="274">
        <v>3228000</v>
      </c>
      <c r="F33" s="274">
        <v>-2614000</v>
      </c>
      <c r="G33" s="274">
        <v>-12792000</v>
      </c>
      <c r="H33" s="274">
        <v>-9896000</v>
      </c>
      <c r="I33" s="274">
        <v>-978000</v>
      </c>
      <c r="J33" s="274">
        <v>-2452000</v>
      </c>
      <c r="K33" s="274">
        <v>-5781000</v>
      </c>
      <c r="L33" s="274">
        <v>-6804000</v>
      </c>
      <c r="M33" s="274">
        <v>-2190000</v>
      </c>
      <c r="N33" s="274">
        <v>-2286000</v>
      </c>
      <c r="O33" s="274">
        <v>-4804000</v>
      </c>
      <c r="P33" s="274">
        <v>-4352000</v>
      </c>
      <c r="Q33" s="274">
        <v>-5547000</v>
      </c>
      <c r="R33" s="274">
        <v>-8091000</v>
      </c>
      <c r="S33" s="274">
        <v>-1873000</v>
      </c>
      <c r="T33" s="274">
        <v>-2544000</v>
      </c>
      <c r="U33" s="274">
        <v>-2066000</v>
      </c>
      <c r="V33" s="274">
        <v>-672000</v>
      </c>
      <c r="W33" s="274">
        <v>-8080000</v>
      </c>
      <c r="X33" s="274">
        <v>-5102000</v>
      </c>
    </row>
    <row r="34" spans="1:24" s="265" customFormat="1" ht="18" customHeight="1">
      <c r="A34" s="264"/>
      <c r="B34" s="275"/>
      <c r="C34" s="273" t="s">
        <v>1268</v>
      </c>
      <c r="D34" s="413"/>
      <c r="E34" s="276">
        <f t="shared" ref="E34:P34" si="28">SUM(E35:E35)</f>
        <v>-1493000</v>
      </c>
      <c r="F34" s="276">
        <f>SUM(F35:F35)</f>
        <v>-927000</v>
      </c>
      <c r="G34" s="276">
        <f t="shared" si="28"/>
        <v>-3884000</v>
      </c>
      <c r="H34" s="276">
        <f>SUM(H35:H35)</f>
        <v>-3419000</v>
      </c>
      <c r="I34" s="276">
        <f t="shared" si="28"/>
        <v>-1043000</v>
      </c>
      <c r="J34" s="276">
        <f t="shared" si="28"/>
        <v>-1004000</v>
      </c>
      <c r="K34" s="276">
        <f t="shared" si="28"/>
        <v>-2878000</v>
      </c>
      <c r="L34" s="276">
        <f t="shared" si="28"/>
        <v>-2925000</v>
      </c>
      <c r="M34" s="276">
        <f t="shared" si="28"/>
        <v>-907000</v>
      </c>
      <c r="N34" s="276">
        <f t="shared" si="28"/>
        <v>-984000</v>
      </c>
      <c r="O34" s="276">
        <f t="shared" si="28"/>
        <v>-1834000</v>
      </c>
      <c r="P34" s="276">
        <f t="shared" si="28"/>
        <v>-1922000</v>
      </c>
      <c r="Q34" s="276">
        <f t="shared" ref="Q34:X34" si="29">SUM(Q35:Q35)</f>
        <v>0</v>
      </c>
      <c r="R34" s="276">
        <f t="shared" si="29"/>
        <v>-233000</v>
      </c>
      <c r="S34" s="276">
        <f t="shared" si="29"/>
        <v>-61000</v>
      </c>
      <c r="T34" s="276">
        <f t="shared" si="29"/>
        <v>-233000</v>
      </c>
      <c r="U34" s="276">
        <f t="shared" si="29"/>
        <v>-938000</v>
      </c>
      <c r="V34" s="276">
        <f t="shared" si="29"/>
        <v>-172000</v>
      </c>
      <c r="W34" s="276">
        <f t="shared" si="29"/>
        <v>-233000</v>
      </c>
      <c r="X34" s="276">
        <f t="shared" si="29"/>
        <v>0</v>
      </c>
    </row>
    <row r="35" spans="1:24" s="263" customFormat="1" ht="18" customHeight="1">
      <c r="A35" s="258"/>
      <c r="B35" s="271"/>
      <c r="C35" s="277" t="s">
        <v>1116</v>
      </c>
      <c r="D35" s="415"/>
      <c r="E35" s="274">
        <v>-1493000</v>
      </c>
      <c r="F35" s="274">
        <v>-927000</v>
      </c>
      <c r="G35" s="274">
        <v>-3884000</v>
      </c>
      <c r="H35" s="274">
        <v>-3419000</v>
      </c>
      <c r="I35" s="274">
        <v>-1043000</v>
      </c>
      <c r="J35" s="274">
        <v>-1004000</v>
      </c>
      <c r="K35" s="274">
        <v>-2878000</v>
      </c>
      <c r="L35" s="274">
        <v>-2925000</v>
      </c>
      <c r="M35" s="274">
        <v>-907000</v>
      </c>
      <c r="N35" s="274">
        <v>-984000</v>
      </c>
      <c r="O35" s="274">
        <v>-1834000</v>
      </c>
      <c r="P35" s="274">
        <v>-1922000</v>
      </c>
      <c r="Q35" s="274">
        <v>0</v>
      </c>
      <c r="R35" s="274">
        <v>-233000</v>
      </c>
      <c r="S35" s="274">
        <v>-61000</v>
      </c>
      <c r="T35" s="274">
        <v>-233000</v>
      </c>
      <c r="U35" s="274">
        <v>-938000</v>
      </c>
      <c r="V35" s="274">
        <v>-172000</v>
      </c>
      <c r="W35" s="274">
        <v>-233000</v>
      </c>
      <c r="X35" s="274">
        <v>0</v>
      </c>
    </row>
    <row r="36" spans="1:24" s="265" customFormat="1" ht="18" customHeight="1">
      <c r="A36" s="264"/>
      <c r="B36" s="275"/>
      <c r="C36" s="273" t="s">
        <v>1317</v>
      </c>
      <c r="D36" s="413"/>
      <c r="E36" s="276">
        <f t="shared" ref="E36:G36" si="30">SUM(E37:E39)</f>
        <v>-21004000</v>
      </c>
      <c r="F36" s="276">
        <f>SUM(F37:F39)</f>
        <v>-37330000</v>
      </c>
      <c r="G36" s="276">
        <f t="shared" si="30"/>
        <v>-658070000</v>
      </c>
      <c r="H36" s="276">
        <f>SUM(H37:H39)</f>
        <v>-387174000</v>
      </c>
      <c r="I36" s="276">
        <f t="shared" ref="I36:K36" si="31">SUM(I37:I39)</f>
        <v>-324103000</v>
      </c>
      <c r="J36" s="276">
        <f>SUM(J37:J39)</f>
        <v>-188325000</v>
      </c>
      <c r="K36" s="276">
        <f t="shared" si="31"/>
        <v>-589997000</v>
      </c>
      <c r="L36" s="276">
        <f>SUM(L37:L39)</f>
        <v>-276609000</v>
      </c>
      <c r="M36" s="276">
        <f t="shared" ref="M36:P36" si="32">SUM(M37:M39)</f>
        <v>-228564000</v>
      </c>
      <c r="N36" s="276">
        <f t="shared" si="32"/>
        <v>-66631000</v>
      </c>
      <c r="O36" s="276">
        <f t="shared" si="32"/>
        <v>-265894000</v>
      </c>
      <c r="P36" s="276">
        <f t="shared" si="32"/>
        <v>-88285000</v>
      </c>
      <c r="Q36" s="276">
        <f t="shared" ref="Q36:X36" si="33">SUM(Q37:Q39)</f>
        <v>-20586000</v>
      </c>
      <c r="R36" s="276">
        <f t="shared" si="33"/>
        <v>-90753000</v>
      </c>
      <c r="S36" s="276">
        <f t="shared" si="33"/>
        <v>-35433000</v>
      </c>
      <c r="T36" s="276">
        <f t="shared" si="33"/>
        <v>-70166000</v>
      </c>
      <c r="U36" s="276">
        <f t="shared" si="33"/>
        <v>-21654000</v>
      </c>
      <c r="V36" s="276">
        <f t="shared" si="33"/>
        <v>-34734000</v>
      </c>
      <c r="W36" s="276">
        <f>SUM(W37:W39)</f>
        <v>-39521000</v>
      </c>
      <c r="X36" s="276">
        <f t="shared" si="33"/>
        <v>-46251000</v>
      </c>
    </row>
    <row r="37" spans="1:24" s="263" customFormat="1" ht="18" customHeight="1">
      <c r="A37" s="258"/>
      <c r="B37" s="271"/>
      <c r="C37" s="277" t="s">
        <v>1316</v>
      </c>
      <c r="D37" s="415"/>
      <c r="E37" s="274">
        <v>0</v>
      </c>
      <c r="F37" s="274">
        <v>0</v>
      </c>
      <c r="G37" s="274">
        <v>-312583000</v>
      </c>
      <c r="H37" s="274">
        <v>-91954000</v>
      </c>
      <c r="I37" s="274">
        <v>0</v>
      </c>
      <c r="J37" s="274">
        <v>0</v>
      </c>
      <c r="K37" s="274">
        <v>0</v>
      </c>
      <c r="L37" s="274">
        <v>0</v>
      </c>
      <c r="M37" s="274">
        <v>0</v>
      </c>
      <c r="N37" s="274">
        <v>0</v>
      </c>
      <c r="O37" s="274">
        <v>0</v>
      </c>
      <c r="P37" s="274">
        <v>0</v>
      </c>
      <c r="Q37" s="274">
        <v>0</v>
      </c>
      <c r="R37" s="274"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-9386000</v>
      </c>
      <c r="X37" s="274">
        <v>-10985000</v>
      </c>
    </row>
    <row r="38" spans="1:24" s="263" customFormat="1" ht="18" customHeight="1">
      <c r="A38" s="258"/>
      <c r="B38" s="271"/>
      <c r="C38" s="277" t="s">
        <v>1282</v>
      </c>
      <c r="D38" s="415"/>
      <c r="E38" s="274">
        <v>0</v>
      </c>
      <c r="F38" s="274">
        <v>0</v>
      </c>
      <c r="G38" s="274">
        <v>-312583000</v>
      </c>
      <c r="H38" s="274">
        <v>-275861000</v>
      </c>
      <c r="I38" s="274">
        <v>0</v>
      </c>
      <c r="J38" s="274">
        <v>0</v>
      </c>
      <c r="K38" s="274">
        <v>0</v>
      </c>
      <c r="L38" s="274">
        <v>0</v>
      </c>
      <c r="M38" s="274">
        <v>0</v>
      </c>
      <c r="N38" s="274">
        <v>0</v>
      </c>
      <c r="O38" s="274">
        <v>0</v>
      </c>
      <c r="P38" s="274">
        <v>0</v>
      </c>
      <c r="Q38" s="274">
        <v>0</v>
      </c>
      <c r="R38" s="274">
        <v>0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</row>
    <row r="39" spans="1:24" s="263" customFormat="1" ht="18" customHeight="1">
      <c r="A39" s="258"/>
      <c r="B39" s="356"/>
      <c r="C39" s="357" t="s">
        <v>1269</v>
      </c>
      <c r="D39" s="416"/>
      <c r="E39" s="358">
        <v>-21004000</v>
      </c>
      <c r="F39" s="358">
        <v>-37330000</v>
      </c>
      <c r="G39" s="358">
        <v>-32904000</v>
      </c>
      <c r="H39" s="358">
        <v>-19359000</v>
      </c>
      <c r="I39" s="358">
        <v>-324103000</v>
      </c>
      <c r="J39" s="358">
        <v>-188325000</v>
      </c>
      <c r="K39" s="358">
        <v>-589997000</v>
      </c>
      <c r="L39" s="358">
        <v>-276609000</v>
      </c>
      <c r="M39" s="358">
        <v>-228564000</v>
      </c>
      <c r="N39" s="358">
        <v>-66631000</v>
      </c>
      <c r="O39" s="358">
        <v>-265894000</v>
      </c>
      <c r="P39" s="358">
        <v>-88285000</v>
      </c>
      <c r="Q39" s="358">
        <v>-20586000</v>
      </c>
      <c r="R39" s="358">
        <v>-90753000</v>
      </c>
      <c r="S39" s="358">
        <v>-35433000</v>
      </c>
      <c r="T39" s="358">
        <v>-70166000</v>
      </c>
      <c r="U39" s="358">
        <v>-21654000</v>
      </c>
      <c r="V39" s="358">
        <v>-34734000</v>
      </c>
      <c r="W39" s="358">
        <v>-30135000</v>
      </c>
      <c r="X39" s="274">
        <v>-35266000</v>
      </c>
    </row>
    <row r="40" spans="1:24" s="193" customFormat="1" ht="15" customHeight="1">
      <c r="B40" s="419" t="s">
        <v>1359</v>
      </c>
      <c r="C40" s="238"/>
      <c r="D40" s="238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</row>
    <row r="41" spans="1:24" ht="15" customHeight="1">
      <c r="B41" s="266"/>
      <c r="D41" s="261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</row>
  </sheetData>
  <mergeCells count="21">
    <mergeCell ref="F3:F4"/>
    <mergeCell ref="M3:M4"/>
    <mergeCell ref="O3:O4"/>
    <mergeCell ref="W3:W4"/>
    <mergeCell ref="X3:X4"/>
    <mergeCell ref="B3:D4"/>
    <mergeCell ref="S3:S4"/>
    <mergeCell ref="U3:U4"/>
    <mergeCell ref="V3:V4"/>
    <mergeCell ref="J3:J4"/>
    <mergeCell ref="Q3:Q4"/>
    <mergeCell ref="L3:L4"/>
    <mergeCell ref="R3:R4"/>
    <mergeCell ref="P3:P4"/>
    <mergeCell ref="T3:T4"/>
    <mergeCell ref="N3:N4"/>
    <mergeCell ref="H3:H4"/>
    <mergeCell ref="I3:I4"/>
    <mergeCell ref="G3:G4"/>
    <mergeCell ref="K3:K4"/>
    <mergeCell ref="E3:E4"/>
  </mergeCells>
  <conditionalFormatting sqref="D17:D18 N41 J41 P41:V41 L41">
    <cfRule type="cellIs" dxfId="122" priority="8149" operator="lessThan">
      <formula>0</formula>
    </cfRule>
  </conditionalFormatting>
  <conditionalFormatting sqref="D35">
    <cfRule type="cellIs" dxfId="121" priority="7988" operator="lessThan">
      <formula>0</formula>
    </cfRule>
  </conditionalFormatting>
  <conditionalFormatting sqref="D21:D22">
    <cfRule type="cellIs" dxfId="120" priority="8108" operator="lessThan">
      <formula>0</formula>
    </cfRule>
  </conditionalFormatting>
  <conditionalFormatting sqref="D33">
    <cfRule type="cellIs" dxfId="119" priority="7963" operator="lessThan">
      <formula>0</formula>
    </cfRule>
  </conditionalFormatting>
  <conditionalFormatting sqref="D20">
    <cfRule type="cellIs" dxfId="118" priority="8030" operator="lessThan">
      <formula>0</formula>
    </cfRule>
  </conditionalFormatting>
  <conditionalFormatting sqref="D31">
    <cfRule type="cellIs" dxfId="117" priority="7944" operator="lessThan">
      <formula>0</formula>
    </cfRule>
  </conditionalFormatting>
  <conditionalFormatting sqref="D10">
    <cfRule type="cellIs" dxfId="116" priority="7865" operator="lessThan">
      <formula>0</formula>
    </cfRule>
  </conditionalFormatting>
  <conditionalFormatting sqref="D9">
    <cfRule type="cellIs" dxfId="115" priority="7763" operator="lessThan">
      <formula>0</formula>
    </cfRule>
  </conditionalFormatting>
  <conditionalFormatting sqref="D32">
    <cfRule type="cellIs" dxfId="114" priority="7590" operator="lessThan">
      <formula>0</formula>
    </cfRule>
  </conditionalFormatting>
  <conditionalFormatting sqref="D6:D7">
    <cfRule type="cellIs" dxfId="113" priority="7711" operator="lessThan">
      <formula>0</formula>
    </cfRule>
  </conditionalFormatting>
  <conditionalFormatting sqref="D30">
    <cfRule type="cellIs" dxfId="112" priority="7679" operator="lessThan">
      <formula>0</formula>
    </cfRule>
  </conditionalFormatting>
  <conditionalFormatting sqref="D34">
    <cfRule type="cellIs" dxfId="111" priority="7663" operator="lessThan">
      <formula>0</formula>
    </cfRule>
  </conditionalFormatting>
  <conditionalFormatting sqref="D36">
    <cfRule type="cellIs" dxfId="110" priority="7649" operator="lessThan">
      <formula>0</formula>
    </cfRule>
  </conditionalFormatting>
  <conditionalFormatting sqref="D12 D14">
    <cfRule type="cellIs" dxfId="109" priority="7634" operator="lessThan">
      <formula>0</formula>
    </cfRule>
  </conditionalFormatting>
  <conditionalFormatting sqref="D15">
    <cfRule type="cellIs" dxfId="108" priority="7614" operator="lessThan">
      <formula>0</formula>
    </cfRule>
  </conditionalFormatting>
  <conditionalFormatting sqref="D15">
    <cfRule type="cellIs" dxfId="107" priority="7616" operator="lessThan">
      <formula>0</formula>
    </cfRule>
  </conditionalFormatting>
  <conditionalFormatting sqref="D37:D38">
    <cfRule type="cellIs" dxfId="106" priority="185" operator="lessThan">
      <formula>0</formula>
    </cfRule>
  </conditionalFormatting>
  <conditionalFormatting sqref="P3">
    <cfRule type="cellIs" dxfId="105" priority="148" operator="lessThan">
      <formula>0</formula>
    </cfRule>
  </conditionalFormatting>
  <conditionalFormatting sqref="N3">
    <cfRule type="cellIs" dxfId="104" priority="150" operator="lessThan">
      <formula>0</formula>
    </cfRule>
  </conditionalFormatting>
  <conditionalFormatting sqref="T3:V3">
    <cfRule type="cellIs" dxfId="103" priority="149" operator="lessThan">
      <formula>0</formula>
    </cfRule>
  </conditionalFormatting>
  <conditionalFormatting sqref="V3">
    <cfRule type="cellIs" dxfId="102" priority="153" operator="lessThan">
      <formula>0</formula>
    </cfRule>
  </conditionalFormatting>
  <conditionalFormatting sqref="U3">
    <cfRule type="cellIs" dxfId="101" priority="152" operator="lessThan">
      <formula>0</formula>
    </cfRule>
  </conditionalFormatting>
  <conditionalFormatting sqref="S3">
    <cfRule type="cellIs" dxfId="100" priority="151" operator="lessThan">
      <formula>0</formula>
    </cfRule>
  </conditionalFormatting>
  <conditionalFormatting sqref="C35">
    <cfRule type="cellIs" dxfId="99" priority="64" operator="lessThan">
      <formula>0</formula>
    </cfRule>
  </conditionalFormatting>
  <conditionalFormatting sqref="D11">
    <cfRule type="cellIs" dxfId="98" priority="116" operator="lessThan">
      <formula>0</formula>
    </cfRule>
  </conditionalFormatting>
  <conditionalFormatting sqref="B33">
    <cfRule type="cellIs" dxfId="97" priority="65" operator="lessThan">
      <formula>0</formula>
    </cfRule>
  </conditionalFormatting>
  <conditionalFormatting sqref="C29 C25:C26 C10 C7">
    <cfRule type="cellIs" dxfId="96" priority="111" operator="lessThan">
      <formula>0</formula>
    </cfRule>
  </conditionalFormatting>
  <conditionalFormatting sqref="C17">
    <cfRule type="cellIs" dxfId="95" priority="110" operator="lessThan">
      <formula>0</formula>
    </cfRule>
  </conditionalFormatting>
  <conditionalFormatting sqref="C7">
    <cfRule type="cellIs" dxfId="94" priority="109" operator="lessThan">
      <formula>0</formula>
    </cfRule>
  </conditionalFormatting>
  <conditionalFormatting sqref="B29 B25:B26 B10 B7">
    <cfRule type="cellIs" dxfId="93" priority="108" operator="lessThan">
      <formula>0</formula>
    </cfRule>
  </conditionalFormatting>
  <conditionalFormatting sqref="B6:B7">
    <cfRule type="cellIs" dxfId="92" priority="106" operator="lessThan">
      <formula>0</formula>
    </cfRule>
  </conditionalFormatting>
  <conditionalFormatting sqref="C6">
    <cfRule type="cellIs" dxfId="91" priority="105" operator="lessThan">
      <formula>0</formula>
    </cfRule>
  </conditionalFormatting>
  <conditionalFormatting sqref="C9">
    <cfRule type="cellIs" dxfId="90" priority="104" operator="lessThan">
      <formula>0</formula>
    </cfRule>
  </conditionalFormatting>
  <conditionalFormatting sqref="B9">
    <cfRule type="cellIs" dxfId="89" priority="103" operator="lessThan">
      <formula>0</formula>
    </cfRule>
  </conditionalFormatting>
  <conditionalFormatting sqref="C10">
    <cfRule type="cellIs" dxfId="88" priority="102" operator="lessThan">
      <formula>0</formula>
    </cfRule>
  </conditionalFormatting>
  <conditionalFormatting sqref="B10">
    <cfRule type="cellIs" dxfId="87" priority="101" operator="lessThan">
      <formula>0</formula>
    </cfRule>
  </conditionalFormatting>
  <conditionalFormatting sqref="C11">
    <cfRule type="cellIs" dxfId="86" priority="100" operator="lessThan">
      <formula>0</formula>
    </cfRule>
  </conditionalFormatting>
  <conditionalFormatting sqref="B11">
    <cfRule type="cellIs" dxfId="85" priority="98" operator="lessThan">
      <formula>0</formula>
    </cfRule>
  </conditionalFormatting>
  <conditionalFormatting sqref="B11">
    <cfRule type="cellIs" dxfId="84" priority="97" operator="lessThan">
      <formula>0</formula>
    </cfRule>
  </conditionalFormatting>
  <conditionalFormatting sqref="C11">
    <cfRule type="cellIs" dxfId="83" priority="99" operator="lessThan">
      <formula>0</formula>
    </cfRule>
  </conditionalFormatting>
  <conditionalFormatting sqref="C12">
    <cfRule type="cellIs" dxfId="82" priority="96" operator="lessThan">
      <formula>0</formula>
    </cfRule>
  </conditionalFormatting>
  <conditionalFormatting sqref="C12">
    <cfRule type="cellIs" dxfId="81" priority="95" operator="lessThan">
      <formula>0</formula>
    </cfRule>
  </conditionalFormatting>
  <conditionalFormatting sqref="B12">
    <cfRule type="cellIs" dxfId="80" priority="94" operator="lessThan">
      <formula>0</formula>
    </cfRule>
  </conditionalFormatting>
  <conditionalFormatting sqref="B12">
    <cfRule type="cellIs" dxfId="79" priority="93" operator="lessThan">
      <formula>0</formula>
    </cfRule>
  </conditionalFormatting>
  <conditionalFormatting sqref="C14">
    <cfRule type="cellIs" dxfId="78" priority="92" operator="lessThan">
      <formula>0</formula>
    </cfRule>
  </conditionalFormatting>
  <conditionalFormatting sqref="B14">
    <cfRule type="cellIs" dxfId="77" priority="91" operator="lessThan">
      <formula>0</formula>
    </cfRule>
  </conditionalFormatting>
  <conditionalFormatting sqref="C20">
    <cfRule type="cellIs" dxfId="76" priority="90" operator="lessThan">
      <formula>0</formula>
    </cfRule>
  </conditionalFormatting>
  <conditionalFormatting sqref="C15">
    <cfRule type="cellIs" dxfId="75" priority="89" operator="lessThan">
      <formula>0</formula>
    </cfRule>
  </conditionalFormatting>
  <conditionalFormatting sqref="C15">
    <cfRule type="cellIs" dxfId="74" priority="88" operator="lessThan">
      <formula>0</formula>
    </cfRule>
  </conditionalFormatting>
  <conditionalFormatting sqref="B20">
    <cfRule type="cellIs" dxfId="73" priority="87" operator="lessThan">
      <formula>0</formula>
    </cfRule>
  </conditionalFormatting>
  <conditionalFormatting sqref="B15">
    <cfRule type="cellIs" dxfId="72" priority="86" operator="lessThan">
      <formula>0</formula>
    </cfRule>
  </conditionalFormatting>
  <conditionalFormatting sqref="B15">
    <cfRule type="cellIs" dxfId="71" priority="85" operator="lessThan">
      <formula>0</formula>
    </cfRule>
  </conditionalFormatting>
  <conditionalFormatting sqref="C21:C22">
    <cfRule type="cellIs" dxfId="70" priority="84" operator="lessThan">
      <formula>0</formula>
    </cfRule>
  </conditionalFormatting>
  <conditionalFormatting sqref="C21:C22">
    <cfRule type="cellIs" dxfId="69" priority="83" operator="lessThan">
      <formula>0</formula>
    </cfRule>
  </conditionalFormatting>
  <conditionalFormatting sqref="B21:B22">
    <cfRule type="cellIs" dxfId="68" priority="82" operator="lessThan">
      <formula>0</formula>
    </cfRule>
  </conditionalFormatting>
  <conditionalFormatting sqref="B21:B22">
    <cfRule type="cellIs" dxfId="67" priority="81" operator="lessThan">
      <formula>0</formula>
    </cfRule>
  </conditionalFormatting>
  <conditionalFormatting sqref="C27">
    <cfRule type="cellIs" dxfId="66" priority="80" operator="lessThan">
      <formula>0</formula>
    </cfRule>
  </conditionalFormatting>
  <conditionalFormatting sqref="B27">
    <cfRule type="cellIs" dxfId="65" priority="79" operator="lessThan">
      <formula>0</formula>
    </cfRule>
  </conditionalFormatting>
  <conditionalFormatting sqref="C28">
    <cfRule type="cellIs" dxfId="64" priority="78" operator="lessThan">
      <formula>0</formula>
    </cfRule>
  </conditionalFormatting>
  <conditionalFormatting sqref="B28">
    <cfRule type="cellIs" dxfId="63" priority="77" operator="lessThan">
      <formula>0</formula>
    </cfRule>
  </conditionalFormatting>
  <conditionalFormatting sqref="C31">
    <cfRule type="cellIs" dxfId="62" priority="74" operator="lessThan">
      <formula>0</formula>
    </cfRule>
  </conditionalFormatting>
  <conditionalFormatting sqref="C30">
    <cfRule type="cellIs" dxfId="61" priority="73" operator="lessThan">
      <formula>0</formula>
    </cfRule>
  </conditionalFormatting>
  <conditionalFormatting sqref="B31">
    <cfRule type="cellIs" dxfId="60" priority="72" operator="lessThan">
      <formula>0</formula>
    </cfRule>
  </conditionalFormatting>
  <conditionalFormatting sqref="B30">
    <cfRule type="cellIs" dxfId="59" priority="71" operator="lessThan">
      <formula>0</formula>
    </cfRule>
  </conditionalFormatting>
  <conditionalFormatting sqref="C32">
    <cfRule type="cellIs" dxfId="58" priority="70" operator="lessThan">
      <formula>0</formula>
    </cfRule>
  </conditionalFormatting>
  <conditionalFormatting sqref="C32">
    <cfRule type="cellIs" dxfId="57" priority="69" operator="lessThan">
      <formula>0</formula>
    </cfRule>
  </conditionalFormatting>
  <conditionalFormatting sqref="B32">
    <cfRule type="cellIs" dxfId="56" priority="68" operator="lessThan">
      <formula>0</formula>
    </cfRule>
  </conditionalFormatting>
  <conditionalFormatting sqref="B32">
    <cfRule type="cellIs" dxfId="55" priority="67" operator="lessThan">
      <formula>0</formula>
    </cfRule>
  </conditionalFormatting>
  <conditionalFormatting sqref="C33">
    <cfRule type="cellIs" dxfId="54" priority="66" operator="lessThan">
      <formula>0</formula>
    </cfRule>
  </conditionalFormatting>
  <conditionalFormatting sqref="C34">
    <cfRule type="cellIs" dxfId="53" priority="63" operator="lessThan">
      <formula>0</formula>
    </cfRule>
  </conditionalFormatting>
  <conditionalFormatting sqref="B35">
    <cfRule type="cellIs" dxfId="52" priority="62" operator="lessThan">
      <formula>0</formula>
    </cfRule>
  </conditionalFormatting>
  <conditionalFormatting sqref="B34">
    <cfRule type="cellIs" dxfId="51" priority="61" operator="lessThan">
      <formula>0</formula>
    </cfRule>
  </conditionalFormatting>
  <conditionalFormatting sqref="C37:C38">
    <cfRule type="cellIs" dxfId="50" priority="60" operator="lessThan">
      <formula>0</formula>
    </cfRule>
  </conditionalFormatting>
  <conditionalFormatting sqref="C36">
    <cfRule type="cellIs" dxfId="49" priority="59" operator="lessThan">
      <formula>0</formula>
    </cfRule>
  </conditionalFormatting>
  <conditionalFormatting sqref="B37:B38">
    <cfRule type="cellIs" dxfId="48" priority="57" operator="lessThan">
      <formula>0</formula>
    </cfRule>
  </conditionalFormatting>
  <conditionalFormatting sqref="B36">
    <cfRule type="cellIs" dxfId="47" priority="56" operator="lessThan">
      <formula>0</formula>
    </cfRule>
  </conditionalFormatting>
  <conditionalFormatting sqref="L3">
    <cfRule type="cellIs" dxfId="46" priority="42" operator="lessThan">
      <formula>0</formula>
    </cfRule>
  </conditionalFormatting>
  <conditionalFormatting sqref="J3">
    <cfRule type="cellIs" dxfId="45" priority="44" operator="lessThan">
      <formula>0</formula>
    </cfRule>
  </conditionalFormatting>
  <conditionalFormatting sqref="R3">
    <cfRule type="cellIs" dxfId="44" priority="43" operator="lessThan">
      <formula>0</formula>
    </cfRule>
  </conditionalFormatting>
  <conditionalFormatting sqref="Q3">
    <cfRule type="cellIs" dxfId="43" priority="45" operator="lessThan">
      <formula>0</formula>
    </cfRule>
  </conditionalFormatting>
  <conditionalFormatting sqref="W41:X41">
    <cfRule type="cellIs" dxfId="42" priority="41" operator="lessThan">
      <formula>0</formula>
    </cfRule>
  </conditionalFormatting>
  <conditionalFormatting sqref="W3:X3">
    <cfRule type="cellIs" dxfId="41" priority="38" operator="lessThan">
      <formula>0</formula>
    </cfRule>
  </conditionalFormatting>
  <conditionalFormatting sqref="X3">
    <cfRule type="cellIs" dxfId="40" priority="40" operator="lessThan">
      <formula>0</formula>
    </cfRule>
  </conditionalFormatting>
  <conditionalFormatting sqref="W3">
    <cfRule type="cellIs" dxfId="39" priority="39" operator="lessThan">
      <formula>0</formula>
    </cfRule>
  </conditionalFormatting>
  <conditionalFormatting sqref="D39">
    <cfRule type="cellIs" dxfId="38" priority="37" operator="lessThan">
      <formula>0</formula>
    </cfRule>
  </conditionalFormatting>
  <conditionalFormatting sqref="C39">
    <cfRule type="cellIs" dxfId="37" priority="36" operator="lessThan">
      <formula>0</formula>
    </cfRule>
  </conditionalFormatting>
  <conditionalFormatting sqref="B39">
    <cfRule type="cellIs" dxfId="36" priority="35" operator="lessThan">
      <formula>0</formula>
    </cfRule>
  </conditionalFormatting>
  <conditionalFormatting sqref="H41">
    <cfRule type="cellIs" dxfId="35" priority="34" operator="lessThan">
      <formula>0</formula>
    </cfRule>
  </conditionalFormatting>
  <conditionalFormatting sqref="H3">
    <cfRule type="cellIs" dxfId="34" priority="31" operator="lessThan">
      <formula>0</formula>
    </cfRule>
  </conditionalFormatting>
  <conditionalFormatting sqref="H3">
    <cfRule type="cellIs" dxfId="33" priority="32" operator="lessThan">
      <formula>0</formula>
    </cfRule>
  </conditionalFormatting>
  <conditionalFormatting sqref="C13">
    <cfRule type="cellIs" dxfId="32" priority="30" operator="lessThan">
      <formula>0</formula>
    </cfRule>
  </conditionalFormatting>
  <conditionalFormatting sqref="B13">
    <cfRule type="cellIs" dxfId="31" priority="29" operator="lessThan">
      <formula>0</formula>
    </cfRule>
  </conditionalFormatting>
  <conditionalFormatting sqref="F3">
    <cfRule type="cellIs" dxfId="30" priority="20" operator="lessThan">
      <formula>0</formula>
    </cfRule>
  </conditionalFormatting>
  <conditionalFormatting sqref="F3">
    <cfRule type="cellIs" dxfId="29" priority="21" operator="lessThan">
      <formula>0</formula>
    </cfRule>
  </conditionalFormatting>
  <conditionalFormatting sqref="F41">
    <cfRule type="cellIs" dxfId="28" priority="23" operator="lessThan">
      <formula>0</formula>
    </cfRule>
  </conditionalFormatting>
  <conditionalFormatting sqref="M3:N3">
    <cfRule type="cellIs" dxfId="27" priority="16" operator="lessThan">
      <formula>0</formula>
    </cfRule>
  </conditionalFormatting>
  <conditionalFormatting sqref="M3:N3">
    <cfRule type="cellIs" dxfId="26" priority="17" operator="lessThan">
      <formula>0</formula>
    </cfRule>
  </conditionalFormatting>
  <conditionalFormatting sqref="M41:N41">
    <cfRule type="cellIs" dxfId="25" priority="19" operator="lessThan">
      <formula>0</formula>
    </cfRule>
  </conditionalFormatting>
  <conditionalFormatting sqref="O3:P3">
    <cfRule type="cellIs" dxfId="24" priority="13" operator="lessThan">
      <formula>0</formula>
    </cfRule>
  </conditionalFormatting>
  <conditionalFormatting sqref="O3:P3">
    <cfRule type="cellIs" dxfId="23" priority="14" operator="lessThan">
      <formula>0</formula>
    </cfRule>
  </conditionalFormatting>
  <conditionalFormatting sqref="O41:P41">
    <cfRule type="cellIs" dxfId="22" priority="15" operator="lessThan">
      <formula>0</formula>
    </cfRule>
  </conditionalFormatting>
  <conditionalFormatting sqref="I3:J3">
    <cfRule type="cellIs" dxfId="21" priority="10" operator="lessThan">
      <formula>0</formula>
    </cfRule>
  </conditionalFormatting>
  <conditionalFormatting sqref="I3:J3">
    <cfRule type="cellIs" dxfId="20" priority="11" operator="lessThan">
      <formula>0</formula>
    </cfRule>
  </conditionalFormatting>
  <conditionalFormatting sqref="I41:J41">
    <cfRule type="cellIs" dxfId="19" priority="12" operator="lessThan">
      <formula>0</formula>
    </cfRule>
  </conditionalFormatting>
  <conditionalFormatting sqref="K3:L3">
    <cfRule type="cellIs" dxfId="18" priority="7" operator="lessThan">
      <formula>0</formula>
    </cfRule>
  </conditionalFormatting>
  <conditionalFormatting sqref="K3:L3">
    <cfRule type="cellIs" dxfId="17" priority="8" operator="lessThan">
      <formula>0</formula>
    </cfRule>
  </conditionalFormatting>
  <conditionalFormatting sqref="K41:L41">
    <cfRule type="cellIs" dxfId="16" priority="9" operator="lessThan">
      <formula>0</formula>
    </cfRule>
  </conditionalFormatting>
  <conditionalFormatting sqref="G3:H3">
    <cfRule type="cellIs" dxfId="15" priority="4" operator="lessThan">
      <formula>0</formula>
    </cfRule>
  </conditionalFormatting>
  <conditionalFormatting sqref="G3:H3">
    <cfRule type="cellIs" dxfId="14" priority="5" operator="lessThan">
      <formula>0</formula>
    </cfRule>
  </conditionalFormatting>
  <conditionalFormatting sqref="G41:H41">
    <cfRule type="cellIs" dxfId="13" priority="6" operator="lessThan">
      <formula>0</formula>
    </cfRule>
  </conditionalFormatting>
  <conditionalFormatting sqref="E3:F3">
    <cfRule type="cellIs" dxfId="12" priority="1" operator="lessThan">
      <formula>0</formula>
    </cfRule>
  </conditionalFormatting>
  <conditionalFormatting sqref="E3:F3">
    <cfRule type="cellIs" dxfId="11" priority="2" operator="lessThan">
      <formula>0</formula>
    </cfRule>
  </conditionalFormatting>
  <conditionalFormatting sqref="E41:F41">
    <cfRule type="cellIs" dxfId="10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Q24 V8:W8 V16:W16 V18:W18 V19:W19 V23:W23 V24:W24 V30:W30 V25:W25 V34:W34 U34 U5 U30 U23 U25 U24 U16 U8 U18:U19 U36 V36:W36 S8 S24 S25 S16 S18:S19 S23 S30 S34 S36 T8 T24 T25 T16 T18:T19 T23 T30 T34 T36 Q8 Q25 Q16 Q18:Q19 Q23 Q30 Q34 Q36 R24 R8 R25 R16 R18:R19 R23 R30 R34 R36 I30:L30 I8:L8 I16:L16 I18:L19 I23:L25 I34:L34 I36:L36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1">
    <tabColor rgb="FFFF0000"/>
  </sheetPr>
  <dimension ref="B1:BQ23"/>
  <sheetViews>
    <sheetView showGridLines="0" zoomScale="90" zoomScaleNormal="90" workbookViewId="0">
      <selection activeCell="B3" sqref="B3:Q8"/>
    </sheetView>
  </sheetViews>
  <sheetFormatPr defaultRowHeight="12" outlineLevelRow="1" outlineLevelCol="1"/>
  <cols>
    <col min="1" max="1" width="1.7109375" style="285" customWidth="1"/>
    <col min="2" max="2" width="16.42578125" style="285" customWidth="1"/>
    <col min="3" max="3" width="11.42578125" style="285" customWidth="1"/>
    <col min="4" max="4" width="17" style="285" customWidth="1"/>
    <col min="5" max="5" width="14.28515625" style="285" customWidth="1"/>
    <col min="6" max="6" width="10.85546875" style="285" customWidth="1"/>
    <col min="7" max="7" width="12.5703125" style="285" customWidth="1"/>
    <col min="8" max="8" width="12.7109375" style="285" hidden="1" customWidth="1" outlineLevel="1"/>
    <col min="9" max="9" width="16.28515625" style="285" hidden="1" customWidth="1" outlineLevel="1"/>
    <col min="10" max="10" width="16.140625" style="285" hidden="1" customWidth="1" outlineLevel="1"/>
    <col min="11" max="11" width="11.5703125" style="285" hidden="1" customWidth="1" outlineLevel="1"/>
    <col min="12" max="12" width="12.5703125" style="285" hidden="1" customWidth="1" outlineLevel="1"/>
    <col min="13" max="13" width="11.85546875" style="285" bestFit="1" customWidth="1" collapsed="1"/>
    <col min="14" max="14" width="13.85546875" style="285" bestFit="1" customWidth="1"/>
    <col min="15" max="15" width="14.140625" style="285" customWidth="1"/>
    <col min="16" max="16" width="9.5703125" style="285" customWidth="1"/>
    <col min="17" max="17" width="9" style="285" bestFit="1" customWidth="1"/>
    <col min="18" max="18" width="12.7109375" style="285" hidden="1" customWidth="1" outlineLevel="1"/>
    <col min="19" max="19" width="16.28515625" style="285" hidden="1" customWidth="1" outlineLevel="1"/>
    <col min="20" max="20" width="16.140625" style="285" hidden="1" customWidth="1" outlineLevel="1"/>
    <col min="21" max="21" width="12.7109375" style="285" hidden="1" customWidth="1" outlineLevel="1"/>
    <col min="22" max="22" width="12.5703125" style="285" hidden="1" customWidth="1" outlineLevel="1"/>
    <col min="23" max="23" width="12.7109375" style="285" hidden="1" customWidth="1" outlineLevel="1"/>
    <col min="24" max="24" width="16.28515625" style="285" hidden="1" customWidth="1" outlineLevel="1"/>
    <col min="25" max="25" width="16.140625" style="285" hidden="1" customWidth="1" outlineLevel="1"/>
    <col min="26" max="26" width="12.7109375" style="285" hidden="1" customWidth="1" outlineLevel="1"/>
    <col min="27" max="27" width="12.5703125" style="285" hidden="1" customWidth="1" outlineLevel="1"/>
    <col min="28" max="28" width="12.7109375" style="285" hidden="1" customWidth="1" outlineLevel="1"/>
    <col min="29" max="29" width="16.28515625" style="285" hidden="1" customWidth="1" outlineLevel="1"/>
    <col min="30" max="30" width="16.140625" style="285" hidden="1" customWidth="1" outlineLevel="1"/>
    <col min="31" max="33" width="12.7109375" style="285" hidden="1" customWidth="1" outlineLevel="1"/>
    <col min="34" max="34" width="16.28515625" style="285" hidden="1" customWidth="1" outlineLevel="1"/>
    <col min="35" max="35" width="16.140625" style="285" hidden="1" customWidth="1" outlineLevel="1"/>
    <col min="36" max="36" width="12" style="285" hidden="1" customWidth="1" outlineLevel="1"/>
    <col min="37" max="38" width="12.7109375" style="285" hidden="1" customWidth="1" outlineLevel="1"/>
    <col min="39" max="39" width="16.28515625" style="285" hidden="1" customWidth="1" outlineLevel="1"/>
    <col min="40" max="40" width="16.140625" style="285" hidden="1" customWidth="1" outlineLevel="1"/>
    <col min="41" max="43" width="12.7109375" style="285" hidden="1" customWidth="1" outlineLevel="1"/>
    <col min="44" max="44" width="16.28515625" style="285" hidden="1" customWidth="1" outlineLevel="1"/>
    <col min="45" max="45" width="16.140625" style="285" hidden="1" customWidth="1" outlineLevel="1"/>
    <col min="46" max="48" width="12.7109375" style="285" hidden="1" customWidth="1" outlineLevel="1"/>
    <col min="49" max="49" width="16.28515625" style="285" hidden="1" customWidth="1" outlineLevel="1"/>
    <col min="50" max="50" width="16.140625" style="285" hidden="1" customWidth="1" outlineLevel="1"/>
    <col min="51" max="53" width="12.7109375" style="285" hidden="1" customWidth="1" outlineLevel="1"/>
    <col min="54" max="54" width="16.28515625" style="285" hidden="1" customWidth="1" outlineLevel="1"/>
    <col min="55" max="55" width="16.140625" style="285" hidden="1" customWidth="1" outlineLevel="1"/>
    <col min="56" max="57" width="12.7109375" style="285" hidden="1" customWidth="1" outlineLevel="1"/>
    <col min="58" max="58" width="10.7109375" style="285" hidden="1" customWidth="1" outlineLevel="1"/>
    <col min="59" max="59" width="16.28515625" style="285" hidden="1" customWidth="1" outlineLevel="1"/>
    <col min="60" max="60" width="16.140625" style="285" hidden="1" customWidth="1" outlineLevel="1"/>
    <col min="61" max="61" width="10.7109375" style="285" hidden="1" customWidth="1" outlineLevel="1"/>
    <col min="62" max="62" width="13.28515625" style="285" hidden="1" customWidth="1" outlineLevel="1"/>
    <col min="63" max="63" width="16.28515625" style="285" hidden="1" customWidth="1" outlineLevel="1"/>
    <col min="64" max="64" width="13.28515625" style="285" hidden="1" customWidth="1" outlineLevel="1"/>
    <col min="65" max="65" width="10.7109375" style="285" hidden="1" customWidth="1" outlineLevel="1"/>
    <col min="66" max="66" width="13.85546875" style="285" customWidth="1" collapsed="1"/>
    <col min="67" max="74" width="5.42578125" style="285" customWidth="1"/>
    <col min="75" max="16384" width="9.140625" style="285"/>
  </cols>
  <sheetData>
    <row r="1" spans="2:69" s="228" customFormat="1"/>
    <row r="2" spans="2:69" s="287" customFormat="1">
      <c r="B2" s="287" t="s">
        <v>601</v>
      </c>
      <c r="C2" s="309">
        <v>44012</v>
      </c>
      <c r="D2" s="396"/>
      <c r="E2" s="396"/>
      <c r="F2" s="396"/>
      <c r="G2" s="396"/>
      <c r="H2" s="309">
        <v>43921</v>
      </c>
      <c r="I2" s="389"/>
      <c r="J2" s="389"/>
      <c r="K2" s="389"/>
      <c r="L2" s="389"/>
      <c r="M2" s="309">
        <v>43830</v>
      </c>
      <c r="N2" s="367"/>
      <c r="O2" s="367"/>
      <c r="P2" s="367"/>
      <c r="Q2" s="367"/>
      <c r="R2" s="309">
        <v>43738</v>
      </c>
      <c r="S2" s="392"/>
      <c r="T2" s="392"/>
      <c r="U2" s="392"/>
      <c r="V2" s="392"/>
      <c r="W2" s="309">
        <v>43644</v>
      </c>
      <c r="X2" s="392"/>
      <c r="Y2" s="392"/>
      <c r="Z2" s="392"/>
      <c r="AA2" s="392"/>
      <c r="AB2" s="309">
        <v>43553</v>
      </c>
      <c r="AC2" s="392"/>
      <c r="AD2" s="392"/>
      <c r="AE2" s="392"/>
      <c r="AF2" s="392"/>
      <c r="AG2" s="309">
        <v>43465</v>
      </c>
      <c r="AH2" s="392"/>
      <c r="AI2" s="392"/>
      <c r="AJ2" s="392"/>
      <c r="AK2" s="392"/>
      <c r="AL2" s="309"/>
      <c r="AM2" s="392"/>
      <c r="AN2" s="392"/>
      <c r="AO2" s="392"/>
      <c r="AP2" s="392"/>
      <c r="AQ2" s="309"/>
      <c r="AR2" s="392"/>
      <c r="AS2" s="392"/>
      <c r="AT2" s="392"/>
      <c r="AU2" s="392"/>
      <c r="AV2" s="309"/>
      <c r="AW2" s="392"/>
      <c r="AX2" s="392"/>
      <c r="AY2" s="392"/>
      <c r="AZ2" s="392"/>
      <c r="BA2" s="309"/>
      <c r="BB2" s="392"/>
      <c r="BC2" s="392"/>
      <c r="BD2" s="392"/>
      <c r="BE2" s="392"/>
      <c r="BF2" s="309"/>
      <c r="BG2" s="392"/>
      <c r="BH2" s="392"/>
      <c r="BI2" s="392"/>
      <c r="BJ2" s="309"/>
      <c r="BL2" s="392"/>
      <c r="BM2" s="392"/>
    </row>
    <row r="3" spans="2:69" s="286" customFormat="1" ht="30" customHeight="1">
      <c r="B3" s="497" t="s">
        <v>1272</v>
      </c>
      <c r="C3" s="494">
        <v>44012</v>
      </c>
      <c r="D3" s="495"/>
      <c r="E3" s="495"/>
      <c r="F3" s="495"/>
      <c r="G3" s="496"/>
      <c r="H3" s="494">
        <v>43921</v>
      </c>
      <c r="I3" s="495"/>
      <c r="J3" s="495"/>
      <c r="K3" s="495"/>
      <c r="L3" s="496"/>
      <c r="M3" s="494">
        <v>43830</v>
      </c>
      <c r="N3" s="495"/>
      <c r="O3" s="495"/>
      <c r="P3" s="495"/>
      <c r="Q3" s="496"/>
      <c r="R3" s="494">
        <v>43738</v>
      </c>
      <c r="S3" s="495"/>
      <c r="T3" s="495"/>
      <c r="U3" s="495"/>
      <c r="V3" s="496"/>
      <c r="W3" s="494">
        <v>43646</v>
      </c>
      <c r="X3" s="495"/>
      <c r="Y3" s="495"/>
      <c r="Z3" s="495"/>
      <c r="AA3" s="496"/>
      <c r="AB3" s="494">
        <v>43555</v>
      </c>
      <c r="AC3" s="495"/>
      <c r="AD3" s="495"/>
      <c r="AE3" s="495"/>
      <c r="AF3" s="496"/>
      <c r="AG3" s="494">
        <v>43465</v>
      </c>
      <c r="AH3" s="495"/>
      <c r="AI3" s="495"/>
      <c r="AJ3" s="495"/>
      <c r="AK3" s="496"/>
      <c r="AL3" s="493">
        <v>43373</v>
      </c>
      <c r="AM3" s="491"/>
      <c r="AN3" s="491"/>
      <c r="AO3" s="491"/>
      <c r="AP3" s="492"/>
      <c r="AQ3" s="493">
        <v>43281</v>
      </c>
      <c r="AR3" s="491"/>
      <c r="AS3" s="491"/>
      <c r="AT3" s="491"/>
      <c r="AU3" s="492"/>
      <c r="AV3" s="493">
        <v>43190</v>
      </c>
      <c r="AW3" s="491"/>
      <c r="AX3" s="491"/>
      <c r="AY3" s="491"/>
      <c r="AZ3" s="492"/>
      <c r="BA3" s="493">
        <v>43100</v>
      </c>
      <c r="BB3" s="491"/>
      <c r="BC3" s="491"/>
      <c r="BD3" s="491"/>
      <c r="BE3" s="492"/>
      <c r="BF3" s="490">
        <v>2015</v>
      </c>
      <c r="BG3" s="491"/>
      <c r="BH3" s="491"/>
      <c r="BI3" s="492"/>
      <c r="BJ3" s="491">
        <v>2014</v>
      </c>
      <c r="BK3" s="491"/>
      <c r="BL3" s="491"/>
      <c r="BM3" s="491"/>
    </row>
    <row r="4" spans="2:69" s="286" customFormat="1" ht="30" customHeight="1">
      <c r="B4" s="498"/>
      <c r="C4" s="370" t="s">
        <v>614</v>
      </c>
      <c r="D4" s="380" t="s">
        <v>1347</v>
      </c>
      <c r="E4" s="371" t="s">
        <v>1315</v>
      </c>
      <c r="F4" s="371" t="s">
        <v>615</v>
      </c>
      <c r="G4" s="372" t="s">
        <v>1221</v>
      </c>
      <c r="H4" s="370" t="s">
        <v>614</v>
      </c>
      <c r="I4" s="371" t="s">
        <v>253</v>
      </c>
      <c r="J4" s="380" t="s">
        <v>1335</v>
      </c>
      <c r="K4" s="371" t="s">
        <v>615</v>
      </c>
      <c r="L4" s="372" t="s">
        <v>1221</v>
      </c>
      <c r="M4" s="370" t="s">
        <v>614</v>
      </c>
      <c r="N4" s="380" t="s">
        <v>1271</v>
      </c>
      <c r="O4" s="371" t="s">
        <v>253</v>
      </c>
      <c r="P4" s="371" t="s">
        <v>615</v>
      </c>
      <c r="Q4" s="372" t="s">
        <v>1221</v>
      </c>
      <c r="R4" s="370" t="s">
        <v>614</v>
      </c>
      <c r="S4" s="371" t="s">
        <v>253</v>
      </c>
      <c r="T4" s="380" t="s">
        <v>1271</v>
      </c>
      <c r="U4" s="371" t="s">
        <v>615</v>
      </c>
      <c r="V4" s="372" t="s">
        <v>1221</v>
      </c>
      <c r="W4" s="370" t="s">
        <v>614</v>
      </c>
      <c r="X4" s="371" t="s">
        <v>253</v>
      </c>
      <c r="Y4" s="380" t="s">
        <v>1271</v>
      </c>
      <c r="Z4" s="371" t="s">
        <v>615</v>
      </c>
      <c r="AA4" s="372" t="s">
        <v>1221</v>
      </c>
      <c r="AB4" s="370" t="s">
        <v>614</v>
      </c>
      <c r="AC4" s="371" t="s">
        <v>253</v>
      </c>
      <c r="AD4" s="380" t="s">
        <v>1271</v>
      </c>
      <c r="AE4" s="371" t="s">
        <v>615</v>
      </c>
      <c r="AF4" s="372" t="s">
        <v>1221</v>
      </c>
      <c r="AG4" s="370" t="s">
        <v>614</v>
      </c>
      <c r="AH4" s="371" t="s">
        <v>253</v>
      </c>
      <c r="AI4" s="380" t="s">
        <v>1271</v>
      </c>
      <c r="AJ4" s="371" t="s">
        <v>615</v>
      </c>
      <c r="AK4" s="371" t="s">
        <v>1221</v>
      </c>
      <c r="AL4" s="359" t="s">
        <v>614</v>
      </c>
      <c r="AM4" s="291" t="s">
        <v>253</v>
      </c>
      <c r="AN4" s="364" t="s">
        <v>1271</v>
      </c>
      <c r="AO4" s="291" t="s">
        <v>615</v>
      </c>
      <c r="AP4" s="361" t="s">
        <v>1221</v>
      </c>
      <c r="AQ4" s="360" t="s">
        <v>614</v>
      </c>
      <c r="AR4" s="291" t="s">
        <v>253</v>
      </c>
      <c r="AS4" s="364" t="s">
        <v>1271</v>
      </c>
      <c r="AT4" s="291" t="s">
        <v>615</v>
      </c>
      <c r="AU4" s="361" t="s">
        <v>1221</v>
      </c>
      <c r="AV4" s="360" t="s">
        <v>614</v>
      </c>
      <c r="AW4" s="291" t="s">
        <v>253</v>
      </c>
      <c r="AX4" s="364" t="s">
        <v>1271</v>
      </c>
      <c r="AY4" s="291" t="s">
        <v>615</v>
      </c>
      <c r="AZ4" s="361" t="s">
        <v>1221</v>
      </c>
      <c r="BA4" s="360" t="s">
        <v>614</v>
      </c>
      <c r="BB4" s="291" t="s">
        <v>253</v>
      </c>
      <c r="BC4" s="364" t="s">
        <v>1271</v>
      </c>
      <c r="BD4" s="291" t="s">
        <v>615</v>
      </c>
      <c r="BE4" s="361" t="s">
        <v>1221</v>
      </c>
      <c r="BF4" s="365" t="s">
        <v>614</v>
      </c>
      <c r="BG4" s="316" t="s">
        <v>253</v>
      </c>
      <c r="BH4" s="316" t="s">
        <v>615</v>
      </c>
      <c r="BI4" s="366" t="s">
        <v>740</v>
      </c>
      <c r="BJ4" s="365" t="s">
        <v>614</v>
      </c>
      <c r="BK4" s="316" t="s">
        <v>253</v>
      </c>
      <c r="BL4" s="316" t="s">
        <v>615</v>
      </c>
      <c r="BM4" s="366" t="s">
        <v>740</v>
      </c>
    </row>
    <row r="5" spans="2:69" s="286" customFormat="1" ht="18" customHeight="1">
      <c r="B5" s="373" t="s">
        <v>254</v>
      </c>
      <c r="C5" s="374">
        <f>ROUND($P5,-3)</f>
        <v>8997000</v>
      </c>
      <c r="D5" s="374">
        <f>($C5/$C$8)*D$8</f>
        <v>4535628.7763237255</v>
      </c>
      <c r="E5" s="374">
        <f>-(299881.48+328604.16+358613.13+429819.4)-($C5/$C$8)*14110200</f>
        <v>-13532729.336253101</v>
      </c>
      <c r="F5" s="409">
        <f>ROUND(C5+E5+D5,-3)</f>
        <v>0</v>
      </c>
      <c r="G5" s="375">
        <v>120</v>
      </c>
      <c r="H5" s="374">
        <f>ROUND($P5,-3)</f>
        <v>8997000</v>
      </c>
      <c r="I5" s="374">
        <f>ROUND(-987098.77,-3)</f>
        <v>-987000</v>
      </c>
      <c r="J5" s="374">
        <f>SUM(J23:L23)</f>
        <v>0</v>
      </c>
      <c r="K5" s="374">
        <f>H5+I5+J5</f>
        <v>8010000</v>
      </c>
      <c r="L5" s="375">
        <v>120</v>
      </c>
      <c r="M5" s="374">
        <f>ROUND($AJ5,-3)</f>
        <v>46940000</v>
      </c>
      <c r="N5" s="374">
        <f>ROUND(-28572887.22*(M5/(M$5+M$6)),-3)</f>
        <v>-24532000</v>
      </c>
      <c r="O5" s="374">
        <f>ROUND(-1117620.27*12,-3)</f>
        <v>-13411000</v>
      </c>
      <c r="P5" s="374">
        <f>M5+O5+N5</f>
        <v>8997000</v>
      </c>
      <c r="Q5" s="375">
        <v>120</v>
      </c>
      <c r="R5" s="374">
        <f>$AJ5</f>
        <v>46940000</v>
      </c>
      <c r="S5" s="374">
        <f>-1117620.27*9</f>
        <v>-10058582.43</v>
      </c>
      <c r="T5" s="374">
        <v>0</v>
      </c>
      <c r="U5" s="374">
        <f>R5+S5+T5</f>
        <v>36881417.57</v>
      </c>
      <c r="V5" s="375">
        <v>120</v>
      </c>
      <c r="W5" s="374">
        <f>$AJ5</f>
        <v>46940000</v>
      </c>
      <c r="X5" s="374">
        <f>-1117620.27*6</f>
        <v>-6705721.6200000001</v>
      </c>
      <c r="Y5" s="374">
        <v>0</v>
      </c>
      <c r="Z5" s="374">
        <f>W5+X5+Y5</f>
        <v>40234278.380000003</v>
      </c>
      <c r="AA5" s="375">
        <v>120</v>
      </c>
      <c r="AB5" s="374">
        <f>$AJ5</f>
        <v>46940000</v>
      </c>
      <c r="AC5" s="374">
        <f>-1117620.27*3</f>
        <v>-3352860.81</v>
      </c>
      <c r="AD5" s="374">
        <v>0</v>
      </c>
      <c r="AE5" s="374">
        <f>AB5+AC5+AD5</f>
        <v>43587139.189999998</v>
      </c>
      <c r="AF5" s="375">
        <v>120</v>
      </c>
      <c r="AG5" s="374">
        <f>ROUND($BD5,-3)+1000</f>
        <v>73574000</v>
      </c>
      <c r="AH5" s="374">
        <f>ROUND(-1362468.17*12,-3)</f>
        <v>-16350000</v>
      </c>
      <c r="AI5" s="374">
        <f>ROUND(-11977437.98*(AG5/(AG$5+AG$6)),-3)</f>
        <v>-10284000</v>
      </c>
      <c r="AJ5" s="374">
        <f>AG5+AH5+AI5</f>
        <v>46940000</v>
      </c>
      <c r="AK5" s="375">
        <v>120</v>
      </c>
      <c r="AL5" s="290">
        <f>$BD5</f>
        <v>73573281</v>
      </c>
      <c r="AM5" s="290">
        <f>-1362468.17*9</f>
        <v>-12262213.529999999</v>
      </c>
      <c r="AN5" s="290">
        <v>0</v>
      </c>
      <c r="AO5" s="290">
        <f>AL5+AM5+AN5</f>
        <v>61311067.469999999</v>
      </c>
      <c r="AP5" s="298">
        <v>120</v>
      </c>
      <c r="AQ5" s="290">
        <f>$BD5</f>
        <v>73573281</v>
      </c>
      <c r="AR5" s="290">
        <f>-1362468.17*6</f>
        <v>-8174809.0199999996</v>
      </c>
      <c r="AS5" s="290">
        <v>0</v>
      </c>
      <c r="AT5" s="290">
        <f>AQ5+AR5+AS5</f>
        <v>65398471.980000004</v>
      </c>
      <c r="AU5" s="298">
        <v>120</v>
      </c>
      <c r="AV5" s="290">
        <f>$BD5</f>
        <v>73573281</v>
      </c>
      <c r="AW5" s="290">
        <f>-1362468.17*3</f>
        <v>-4087404.51</v>
      </c>
      <c r="AX5" s="290">
        <v>0</v>
      </c>
      <c r="AY5" s="290">
        <f>AV5+AW5+AX5</f>
        <v>69485876.489999995</v>
      </c>
      <c r="AZ5" s="298">
        <v>120</v>
      </c>
      <c r="BA5" s="290">
        <v>89922899</v>
      </c>
      <c r="BB5" s="290">
        <v>-16349618</v>
      </c>
      <c r="BC5" s="290">
        <v>0</v>
      </c>
      <c r="BD5" s="290">
        <f>BA5+BB5+BC5</f>
        <v>73573281</v>
      </c>
      <c r="BE5" s="298">
        <v>120</v>
      </c>
      <c r="BF5" s="300">
        <f>BL5</f>
        <v>122623</v>
      </c>
      <c r="BG5" s="300">
        <v>-16349</v>
      </c>
      <c r="BH5" s="300">
        <f>BF5+BG5</f>
        <v>106274</v>
      </c>
      <c r="BI5" s="300">
        <v>120</v>
      </c>
      <c r="BJ5" s="300">
        <v>138972</v>
      </c>
      <c r="BK5" s="300">
        <v>-16349</v>
      </c>
      <c r="BL5" s="300">
        <f>BJ5+BK5</f>
        <v>122623</v>
      </c>
      <c r="BM5" s="300">
        <v>120</v>
      </c>
      <c r="BO5" s="369">
        <f>AI5</f>
        <v>-10284000</v>
      </c>
    </row>
    <row r="6" spans="2:69" s="286" customFormat="1" ht="18" customHeight="1">
      <c r="B6" s="381" t="s">
        <v>255</v>
      </c>
      <c r="C6" s="374">
        <f>ROUND($P6,-3)</f>
        <v>1481000</v>
      </c>
      <c r="D6" s="374">
        <f>($C6/$C$8)*D$8</f>
        <v>746611.783676274</v>
      </c>
      <c r="E6" s="382">
        <f>-(49393.85+54124.81+59067.63+70796.1)-($C6/$C$8)*14110200</f>
        <v>-2227771.2237468981</v>
      </c>
      <c r="F6" s="409">
        <f>ROUND(C6+E6+D6,-3)</f>
        <v>0</v>
      </c>
      <c r="G6" s="383">
        <v>120</v>
      </c>
      <c r="H6" s="374">
        <f>ROUND($P6,-3)</f>
        <v>1481000</v>
      </c>
      <c r="I6" s="382">
        <f>ROUND(-162586.29,-3)</f>
        <v>-163000</v>
      </c>
      <c r="J6" s="382">
        <f>ROUND(4188045.01,-3)</f>
        <v>4188000</v>
      </c>
      <c r="K6" s="382">
        <f>H6+I6+J6+1000</f>
        <v>5507000</v>
      </c>
      <c r="L6" s="383">
        <v>120</v>
      </c>
      <c r="M6" s="374">
        <f>ROUND($AJ6,-3)</f>
        <v>7732000</v>
      </c>
      <c r="N6" s="382">
        <f>ROUND(-28572887.22*(M6/(M$5+M$6)),-3)</f>
        <v>-4041000</v>
      </c>
      <c r="O6" s="382">
        <f>ROUND(-184084.63*12,-3)</f>
        <v>-2209000</v>
      </c>
      <c r="P6" s="382">
        <f>M6+O6+N6-1000</f>
        <v>1481000</v>
      </c>
      <c r="Q6" s="383">
        <v>120</v>
      </c>
      <c r="R6" s="382">
        <f>$AJ6</f>
        <v>7732000</v>
      </c>
      <c r="S6" s="382">
        <f>-184084.63*9</f>
        <v>-1656761.67</v>
      </c>
      <c r="T6" s="382">
        <v>0</v>
      </c>
      <c r="U6" s="382">
        <f>R6+S6+T6</f>
        <v>6075238.3300000001</v>
      </c>
      <c r="V6" s="383">
        <v>120</v>
      </c>
      <c r="W6" s="382">
        <f>$AJ6</f>
        <v>7732000</v>
      </c>
      <c r="X6" s="382">
        <f>-184084.63*6</f>
        <v>-1104507.78</v>
      </c>
      <c r="Y6" s="382">
        <v>0</v>
      </c>
      <c r="Z6" s="382">
        <f>W6+X6+Y6</f>
        <v>6627492.2199999997</v>
      </c>
      <c r="AA6" s="383">
        <v>120</v>
      </c>
      <c r="AB6" s="382">
        <f>$AJ6</f>
        <v>7732000</v>
      </c>
      <c r="AC6" s="382">
        <f>-184084.63*3</f>
        <v>-552253.89</v>
      </c>
      <c r="AD6" s="382">
        <v>0</v>
      </c>
      <c r="AE6" s="382">
        <f>AB6+AC6+AD6</f>
        <v>7179746.1100000003</v>
      </c>
      <c r="AF6" s="383">
        <v>120</v>
      </c>
      <c r="AG6" s="382">
        <f>ROUND($BD6,-3)</f>
        <v>12118000</v>
      </c>
      <c r="AH6" s="382">
        <f>ROUND(-224413.83*12,-3)</f>
        <v>-2693000</v>
      </c>
      <c r="AI6" s="382">
        <f>ROUND(-11977437.98*(AG6/(AG$5+AG$6)),-3)</f>
        <v>-1694000</v>
      </c>
      <c r="AJ6" s="382">
        <f>ROUND(AG6+AH6+AI6,-3)+1000</f>
        <v>7732000</v>
      </c>
      <c r="AK6" s="383">
        <v>120</v>
      </c>
      <c r="AL6" s="274">
        <f>$BD6</f>
        <v>12118347</v>
      </c>
      <c r="AM6" s="274">
        <f>-224413.83*9</f>
        <v>-2019724.47</v>
      </c>
      <c r="AN6" s="274">
        <v>0</v>
      </c>
      <c r="AO6" s="274">
        <f>AL6+AM6+AN6</f>
        <v>10098622.529999999</v>
      </c>
      <c r="AP6" s="297">
        <v>120</v>
      </c>
      <c r="AQ6" s="274">
        <f>$BD6</f>
        <v>12118347</v>
      </c>
      <c r="AR6" s="274">
        <f>-224413.83*6</f>
        <v>-1346482.98</v>
      </c>
      <c r="AS6" s="274">
        <v>0</v>
      </c>
      <c r="AT6" s="274">
        <f>AQ6+AR6+AS6</f>
        <v>10771864.02</v>
      </c>
      <c r="AU6" s="297">
        <v>120</v>
      </c>
      <c r="AV6" s="274">
        <f>$BD6</f>
        <v>12118347</v>
      </c>
      <c r="AW6" s="274">
        <f>-224413.83*3</f>
        <v>-673241.49</v>
      </c>
      <c r="AX6" s="274">
        <v>0</v>
      </c>
      <c r="AY6" s="274">
        <f>AV6+AW6+AX6</f>
        <v>11445105.51</v>
      </c>
      <c r="AZ6" s="297">
        <v>120</v>
      </c>
      <c r="BA6" s="274">
        <v>14811313</v>
      </c>
      <c r="BB6" s="274">
        <f>-2692966</f>
        <v>-2692966</v>
      </c>
      <c r="BC6" s="274">
        <v>0</v>
      </c>
      <c r="BD6" s="274">
        <f>BA6+BB6+BC6</f>
        <v>12118347</v>
      </c>
      <c r="BE6" s="297">
        <v>120</v>
      </c>
      <c r="BF6" s="300">
        <f>BL6</f>
        <v>20197</v>
      </c>
      <c r="BG6" s="300">
        <f>-2693</f>
        <v>-2693</v>
      </c>
      <c r="BH6" s="300">
        <f>BF6+BG6</f>
        <v>17504</v>
      </c>
      <c r="BI6" s="300">
        <v>120</v>
      </c>
      <c r="BJ6" s="300">
        <v>22890</v>
      </c>
      <c r="BK6" s="300">
        <v>-2693</v>
      </c>
      <c r="BL6" s="300">
        <f>BJ6+BK6</f>
        <v>20197</v>
      </c>
      <c r="BM6" s="300">
        <v>120</v>
      </c>
      <c r="BO6" s="386">
        <f>ROUND(AG6+AH6+AI6,-3)+1000</f>
        <v>7732000</v>
      </c>
    </row>
    <row r="7" spans="2:69" s="286" customFormat="1" ht="18" hidden="1" customHeight="1" outlineLevel="1">
      <c r="B7" s="376" t="s">
        <v>1323</v>
      </c>
      <c r="C7" s="374">
        <f>$AJ7</f>
        <v>0</v>
      </c>
      <c r="D7" s="377">
        <v>0</v>
      </c>
      <c r="E7" s="382">
        <f>-C7</f>
        <v>0</v>
      </c>
      <c r="F7" s="377">
        <f>C7+E7+D7</f>
        <v>0</v>
      </c>
      <c r="G7" s="378">
        <v>0</v>
      </c>
      <c r="H7" s="374">
        <f>$AJ7</f>
        <v>0</v>
      </c>
      <c r="I7" s="382">
        <f>-H7</f>
        <v>0</v>
      </c>
      <c r="J7" s="377">
        <v>0</v>
      </c>
      <c r="K7" s="377">
        <f>H7+I7+J7</f>
        <v>0</v>
      </c>
      <c r="L7" s="378">
        <v>0</v>
      </c>
      <c r="M7" s="374">
        <f>$AJ7</f>
        <v>0</v>
      </c>
      <c r="N7" s="377">
        <v>0</v>
      </c>
      <c r="O7" s="382">
        <f>-M7</f>
        <v>0</v>
      </c>
      <c r="P7" s="377">
        <f>M7+O7+N7</f>
        <v>0</v>
      </c>
      <c r="Q7" s="378">
        <v>0</v>
      </c>
      <c r="R7" s="377">
        <f>$AJ7</f>
        <v>0</v>
      </c>
      <c r="S7" s="377">
        <v>0</v>
      </c>
      <c r="T7" s="377">
        <v>0</v>
      </c>
      <c r="U7" s="377">
        <f>R7+S7+T7</f>
        <v>0</v>
      </c>
      <c r="V7" s="378">
        <v>0</v>
      </c>
      <c r="W7" s="377">
        <f>$AJ7</f>
        <v>0</v>
      </c>
      <c r="X7" s="377">
        <v>0</v>
      </c>
      <c r="Y7" s="377">
        <v>0</v>
      </c>
      <c r="Z7" s="377">
        <f>W7+X7+Y7</f>
        <v>0</v>
      </c>
      <c r="AA7" s="378">
        <v>0</v>
      </c>
      <c r="AB7" s="377">
        <f>$AJ7</f>
        <v>0</v>
      </c>
      <c r="AC7" s="377">
        <v>0</v>
      </c>
      <c r="AD7" s="377">
        <v>0</v>
      </c>
      <c r="AE7" s="377">
        <f>AB7+AC7+AD7</f>
        <v>0</v>
      </c>
      <c r="AF7" s="378">
        <v>0</v>
      </c>
      <c r="AG7" s="377">
        <f>ROUND($BD7,-3)</f>
        <v>6899000</v>
      </c>
      <c r="AH7" s="377">
        <v>0</v>
      </c>
      <c r="AI7" s="377">
        <f>ROUND(-6898821.96,-3)</f>
        <v>-6899000</v>
      </c>
      <c r="AJ7" s="377">
        <f>AG7+AH7+AI7</f>
        <v>0</v>
      </c>
      <c r="AK7" s="378">
        <v>0</v>
      </c>
      <c r="AL7" s="313">
        <f>$BD7</f>
        <v>6898821.9600000009</v>
      </c>
      <c r="AM7" s="313">
        <v>0</v>
      </c>
      <c r="AN7" s="313">
        <v>0</v>
      </c>
      <c r="AO7" s="313">
        <f>AL7+AM7+AN7</f>
        <v>6898821.9600000009</v>
      </c>
      <c r="AP7" s="353">
        <v>0</v>
      </c>
      <c r="AQ7" s="313">
        <f>$BD7</f>
        <v>6898821.9600000009</v>
      </c>
      <c r="AR7" s="313">
        <v>0</v>
      </c>
      <c r="AS7" s="313">
        <v>0</v>
      </c>
      <c r="AT7" s="313">
        <f>AQ7+AR7+AS7</f>
        <v>6898821.9600000009</v>
      </c>
      <c r="AU7" s="353">
        <v>0</v>
      </c>
      <c r="AV7" s="313">
        <f>$BD7</f>
        <v>6898821.9600000009</v>
      </c>
      <c r="AW7" s="313">
        <v>0</v>
      </c>
      <c r="AX7" s="313">
        <v>0</v>
      </c>
      <c r="AY7" s="313">
        <f>AV7+AW7+AX7</f>
        <v>6898821.9600000009</v>
      </c>
      <c r="AZ7" s="353">
        <v>0</v>
      </c>
      <c r="BA7" s="313">
        <f>79281286-34475887.07</f>
        <v>44805398.93</v>
      </c>
      <c r="BB7" s="313">
        <v>0</v>
      </c>
      <c r="BC7" s="313">
        <v>-37906576.969999999</v>
      </c>
      <c r="BD7" s="313">
        <f>BA7+BB7+BC7</f>
        <v>6898821.9600000009</v>
      </c>
      <c r="BE7" s="353">
        <v>0</v>
      </c>
      <c r="BF7" s="300">
        <f>BL7</f>
        <v>79281</v>
      </c>
      <c r="BG7" s="300">
        <v>0</v>
      </c>
      <c r="BH7" s="300">
        <f>BF7+BG7</f>
        <v>79281</v>
      </c>
      <c r="BI7" s="300">
        <v>0</v>
      </c>
      <c r="BJ7" s="300">
        <v>79281</v>
      </c>
      <c r="BK7" s="300">
        <v>0</v>
      </c>
      <c r="BL7" s="300">
        <f>BJ7+BK7</f>
        <v>79281</v>
      </c>
      <c r="BM7" s="300">
        <v>0</v>
      </c>
    </row>
    <row r="8" spans="2:69" s="286" customFormat="1" ht="18" customHeight="1" collapsed="1">
      <c r="B8" s="384" t="s">
        <v>243</v>
      </c>
      <c r="C8" s="379">
        <f>SUM(C5:C7)</f>
        <v>10478000</v>
      </c>
      <c r="D8" s="379">
        <f>970155.33+978648.97+2239240.71+1094195.55</f>
        <v>5282240.5599999996</v>
      </c>
      <c r="E8" s="379">
        <f>SUM(E5:E7)</f>
        <v>-15760500.559999999</v>
      </c>
      <c r="F8" s="408">
        <f>SUM(F5:F7)</f>
        <v>0</v>
      </c>
      <c r="G8" s="385"/>
      <c r="H8" s="379">
        <f>SUM(H5:H7)</f>
        <v>10478000</v>
      </c>
      <c r="I8" s="379">
        <f>SUM(I5:I7)</f>
        <v>-1150000</v>
      </c>
      <c r="J8" s="379">
        <f>SUM(J5:J7)</f>
        <v>4188000</v>
      </c>
      <c r="K8" s="379">
        <f>SUM(K5:K7)</f>
        <v>13517000</v>
      </c>
      <c r="L8" s="385"/>
      <c r="M8" s="379">
        <f>SUM(M5:M7)</f>
        <v>54672000</v>
      </c>
      <c r="N8" s="379">
        <f>SUM(N5:N7)</f>
        <v>-28573000</v>
      </c>
      <c r="O8" s="379">
        <f>SUM(O5:O7)</f>
        <v>-15620000</v>
      </c>
      <c r="P8" s="379">
        <f>SUM(P5:P7)</f>
        <v>10478000</v>
      </c>
      <c r="Q8" s="385"/>
      <c r="R8" s="379">
        <f>SUM(R5:R7)</f>
        <v>54672000</v>
      </c>
      <c r="S8" s="379">
        <f>SUM(S5:S7)</f>
        <v>-11715344.1</v>
      </c>
      <c r="T8" s="379">
        <f>SUM(T5:T7)</f>
        <v>0</v>
      </c>
      <c r="U8" s="379">
        <f>SUM(U5:U7)</f>
        <v>42956655.899999999</v>
      </c>
      <c r="V8" s="385"/>
      <c r="W8" s="379">
        <f>SUM(W5:W7)</f>
        <v>54672000</v>
      </c>
      <c r="X8" s="379">
        <f>SUM(X5:X7)</f>
        <v>-7810229.4000000004</v>
      </c>
      <c r="Y8" s="379">
        <f>SUM(Y5:Y7)</f>
        <v>0</v>
      </c>
      <c r="Z8" s="379">
        <f>SUM(Z5:Z7)</f>
        <v>46861770.600000001</v>
      </c>
      <c r="AA8" s="385"/>
      <c r="AB8" s="379">
        <f>SUM(AB5:AB7)</f>
        <v>54672000</v>
      </c>
      <c r="AC8" s="379">
        <f>SUM(AC5:AC7)</f>
        <v>-3905114.7</v>
      </c>
      <c r="AD8" s="379">
        <f>SUM(AD5:AD7)</f>
        <v>0</v>
      </c>
      <c r="AE8" s="379">
        <f>SUM(AE5:AE7)</f>
        <v>50766885.299999997</v>
      </c>
      <c r="AF8" s="385"/>
      <c r="AG8" s="379">
        <f>SUM(AG5:AG7)</f>
        <v>92591000</v>
      </c>
      <c r="AH8" s="379">
        <f>SUM(AH5:AH7)</f>
        <v>-19043000</v>
      </c>
      <c r="AI8" s="379">
        <f>SUM(AI5:AI7)</f>
        <v>-18877000</v>
      </c>
      <c r="AJ8" s="379">
        <f>SUM(AJ5:AJ7)</f>
        <v>54672000</v>
      </c>
      <c r="AK8" s="385"/>
      <c r="AL8" s="354">
        <f>SUM(AL5:AL7)</f>
        <v>92590449.960000008</v>
      </c>
      <c r="AM8" s="354">
        <f>SUM(AM5:AM7)</f>
        <v>-14281938</v>
      </c>
      <c r="AN8" s="354">
        <f>SUM(AN5:AN7)</f>
        <v>0</v>
      </c>
      <c r="AO8" s="354">
        <f>SUM(AO5:AO7)</f>
        <v>78308511.960000008</v>
      </c>
      <c r="AP8" s="355"/>
      <c r="AQ8" s="354">
        <f>SUM(AQ5:AQ7)</f>
        <v>92590449.960000008</v>
      </c>
      <c r="AR8" s="354">
        <f>SUM(AR5:AR7)</f>
        <v>-9521292</v>
      </c>
      <c r="AS8" s="354">
        <f>SUM(AS5:AS7)</f>
        <v>0</v>
      </c>
      <c r="AT8" s="354">
        <f>SUM(AT5:AT7)</f>
        <v>83069157.960000008</v>
      </c>
      <c r="AU8" s="355"/>
      <c r="AV8" s="354">
        <f>SUM(AV5:AV7)</f>
        <v>92590449.960000008</v>
      </c>
      <c r="AW8" s="354">
        <f>SUM(AW5:AW7)</f>
        <v>-4760646</v>
      </c>
      <c r="AX8" s="354">
        <f>SUM(AX5:AX7)</f>
        <v>0</v>
      </c>
      <c r="AY8" s="354">
        <f>SUM(AY5:AY7)</f>
        <v>87829803.960000008</v>
      </c>
      <c r="AZ8" s="355"/>
      <c r="BA8" s="354">
        <f>SUM(BA5:BA7)</f>
        <v>149539610.93000001</v>
      </c>
      <c r="BB8" s="354">
        <f>SUM(BB5:BB7)</f>
        <v>-19042584</v>
      </c>
      <c r="BC8" s="354">
        <f>SUM(BC5:BC7)</f>
        <v>-37906576.969999999</v>
      </c>
      <c r="BD8" s="354">
        <f>SUM(BD5:BD7)</f>
        <v>92590449.960000008</v>
      </c>
      <c r="BE8" s="355"/>
      <c r="BF8" s="363">
        <f t="shared" ref="BF8:BL8" si="0">SUM(BF5:BF7)</f>
        <v>222101</v>
      </c>
      <c r="BG8" s="363">
        <f t="shared" si="0"/>
        <v>-19042</v>
      </c>
      <c r="BH8" s="363">
        <f t="shared" si="0"/>
        <v>203059</v>
      </c>
      <c r="BI8" s="362"/>
      <c r="BJ8" s="363">
        <f t="shared" si="0"/>
        <v>241143</v>
      </c>
      <c r="BK8" s="363">
        <f t="shared" si="0"/>
        <v>-19042</v>
      </c>
      <c r="BL8" s="362">
        <f t="shared" si="0"/>
        <v>222101</v>
      </c>
      <c r="BM8" s="362"/>
    </row>
    <row r="9" spans="2:69" s="228" customFormat="1">
      <c r="BP9" s="295"/>
    </row>
    <row r="10" spans="2:69" s="228" customFormat="1">
      <c r="BP10" s="295"/>
    </row>
    <row r="11" spans="2:69" s="228" customFormat="1">
      <c r="B11" s="201" t="s">
        <v>1238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BQ11" s="295"/>
    </row>
    <row r="12" spans="2:69" s="228" customFormat="1">
      <c r="B12" s="202" t="s">
        <v>1292</v>
      </c>
      <c r="C12" s="203"/>
      <c r="D12" s="203"/>
      <c r="E12" s="203"/>
      <c r="F12" s="203">
        <v>0</v>
      </c>
      <c r="G12" s="203"/>
      <c r="H12" s="203"/>
      <c r="I12" s="203"/>
      <c r="J12" s="203"/>
      <c r="K12" s="203">
        <v>190425840</v>
      </c>
      <c r="L12" s="203"/>
      <c r="M12" s="203"/>
      <c r="N12" s="203"/>
      <c r="O12" s="203"/>
      <c r="P12" s="203">
        <v>190425840</v>
      </c>
      <c r="Q12" s="203"/>
      <c r="R12" s="203"/>
      <c r="S12" s="203"/>
      <c r="T12" s="203"/>
      <c r="U12" s="203">
        <v>190425840</v>
      </c>
      <c r="V12" s="203"/>
      <c r="W12" s="203"/>
      <c r="X12" s="203"/>
      <c r="Y12" s="203"/>
      <c r="Z12" s="203">
        <v>190425840</v>
      </c>
      <c r="AA12" s="203"/>
      <c r="AB12" s="203"/>
      <c r="AC12" s="203"/>
      <c r="AD12" s="203"/>
      <c r="AE12" s="203">
        <v>190425840</v>
      </c>
      <c r="AF12" s="203"/>
      <c r="AG12" s="203"/>
      <c r="AH12" s="203"/>
      <c r="AI12" s="203"/>
      <c r="AJ12" s="203">
        <v>190425840</v>
      </c>
      <c r="AK12" s="203"/>
      <c r="BQ12" s="295"/>
    </row>
    <row r="13" spans="2:69" s="228" customFormat="1">
      <c r="B13" s="202" t="s">
        <v>1293</v>
      </c>
      <c r="C13" s="203"/>
      <c r="D13" s="203"/>
      <c r="E13" s="203"/>
      <c r="F13" s="203">
        <v>0</v>
      </c>
      <c r="G13" s="203"/>
      <c r="H13" s="203"/>
      <c r="I13" s="203"/>
      <c r="J13" s="203"/>
      <c r="K13" s="203">
        <v>-140546939.86000001</v>
      </c>
      <c r="L13" s="203"/>
      <c r="M13" s="203"/>
      <c r="N13" s="203"/>
      <c r="O13" s="203"/>
      <c r="P13" s="203">
        <v>-139397254.80000001</v>
      </c>
      <c r="Q13" s="203"/>
      <c r="R13" s="203"/>
      <c r="S13" s="203"/>
      <c r="T13" s="203"/>
      <c r="U13" s="203">
        <v>-135492140.09999999</v>
      </c>
      <c r="V13" s="203"/>
      <c r="W13" s="203"/>
      <c r="X13" s="203"/>
      <c r="Y13" s="203"/>
      <c r="Z13" s="203">
        <v>-131587025.40000001</v>
      </c>
      <c r="AA13" s="203"/>
      <c r="AB13" s="203"/>
      <c r="AC13" s="203"/>
      <c r="AD13" s="203"/>
      <c r="AE13" s="203">
        <v>-127681910.7</v>
      </c>
      <c r="AF13" s="203"/>
      <c r="AG13" s="203"/>
      <c r="AH13" s="203"/>
      <c r="AI13" s="203"/>
      <c r="AJ13" s="203">
        <v>-123776796</v>
      </c>
      <c r="AK13" s="203"/>
      <c r="BQ13" s="295"/>
    </row>
    <row r="14" spans="2:69" s="228" customFormat="1">
      <c r="B14" s="202" t="s">
        <v>1294</v>
      </c>
      <c r="C14" s="203"/>
      <c r="D14" s="203"/>
      <c r="E14" s="203"/>
      <c r="F14" s="203">
        <v>0</v>
      </c>
      <c r="G14" s="203"/>
      <c r="H14" s="203"/>
      <c r="I14" s="203"/>
      <c r="J14" s="203"/>
      <c r="K14" s="203">
        <v>-36362280.189999998</v>
      </c>
      <c r="L14" s="203"/>
      <c r="M14" s="203"/>
      <c r="N14" s="203"/>
      <c r="O14" s="203"/>
      <c r="P14" s="203">
        <v>-40550325.200000003</v>
      </c>
      <c r="Q14" s="203"/>
      <c r="R14" s="203"/>
      <c r="S14" s="203"/>
      <c r="T14" s="203"/>
      <c r="U14" s="203">
        <v>-11977437.98</v>
      </c>
      <c r="V14" s="203"/>
      <c r="W14" s="203"/>
      <c r="X14" s="203"/>
      <c r="Y14" s="203"/>
      <c r="Z14" s="203">
        <v>-11977437.98</v>
      </c>
      <c r="AA14" s="203"/>
      <c r="AB14" s="203"/>
      <c r="AC14" s="203"/>
      <c r="AD14" s="203"/>
      <c r="AE14" s="203">
        <v>-11977437.98</v>
      </c>
      <c r="AF14" s="203"/>
      <c r="AG14" s="203"/>
      <c r="AH14" s="203"/>
      <c r="AI14" s="203"/>
      <c r="AJ14" s="203">
        <v>-11977437.98</v>
      </c>
      <c r="AK14" s="203"/>
      <c r="BQ14" s="295"/>
    </row>
    <row r="15" spans="2:69" s="228" customFormat="1">
      <c r="B15" s="202" t="s">
        <v>1295</v>
      </c>
      <c r="C15" s="203"/>
      <c r="D15" s="203"/>
      <c r="E15" s="203"/>
      <c r="F15" s="203">
        <v>0</v>
      </c>
      <c r="G15" s="203"/>
      <c r="H15" s="203"/>
      <c r="I15" s="203"/>
      <c r="J15" s="203"/>
      <c r="K15" s="203">
        <v>79281286</v>
      </c>
      <c r="L15" s="203"/>
      <c r="M15" s="203"/>
      <c r="N15" s="203"/>
      <c r="O15" s="203"/>
      <c r="P15" s="203">
        <v>79281286</v>
      </c>
      <c r="Q15" s="203"/>
      <c r="R15" s="203"/>
      <c r="S15" s="203"/>
      <c r="T15" s="203"/>
      <c r="U15" s="203">
        <v>79281286</v>
      </c>
      <c r="V15" s="203"/>
      <c r="W15" s="203"/>
      <c r="X15" s="203"/>
      <c r="Y15" s="203"/>
      <c r="Z15" s="203">
        <v>79281286</v>
      </c>
      <c r="AA15" s="203"/>
      <c r="AB15" s="203"/>
      <c r="AC15" s="203"/>
      <c r="AD15" s="203"/>
      <c r="AE15" s="203">
        <v>79281286</v>
      </c>
      <c r="AF15" s="203"/>
      <c r="AG15" s="203"/>
      <c r="AH15" s="203"/>
      <c r="AI15" s="203"/>
      <c r="AJ15" s="203">
        <v>79281286</v>
      </c>
      <c r="AK15" s="203"/>
      <c r="BQ15" s="295"/>
    </row>
    <row r="16" spans="2:69" s="228" customFormat="1">
      <c r="B16" s="202" t="s">
        <v>1296</v>
      </c>
      <c r="C16" s="203"/>
      <c r="D16" s="203"/>
      <c r="E16" s="203"/>
      <c r="F16" s="203">
        <v>0</v>
      </c>
      <c r="G16" s="203"/>
      <c r="H16" s="203"/>
      <c r="I16" s="203"/>
      <c r="J16" s="203"/>
      <c r="K16" s="203">
        <v>-79281286</v>
      </c>
      <c r="L16" s="203"/>
      <c r="M16" s="203"/>
      <c r="N16" s="203"/>
      <c r="O16" s="203"/>
      <c r="P16" s="203">
        <v>-79281286</v>
      </c>
      <c r="Q16" s="203"/>
      <c r="R16" s="203"/>
      <c r="S16" s="203"/>
      <c r="T16" s="203"/>
      <c r="U16" s="203">
        <v>-79281286</v>
      </c>
      <c r="V16" s="203"/>
      <c r="W16" s="203"/>
      <c r="X16" s="203"/>
      <c r="Y16" s="203"/>
      <c r="Z16" s="203">
        <v>-79281286</v>
      </c>
      <c r="AA16" s="203"/>
      <c r="AB16" s="203"/>
      <c r="AC16" s="203"/>
      <c r="AD16" s="203"/>
      <c r="AE16" s="203">
        <v>-79281286</v>
      </c>
      <c r="AF16" s="203"/>
      <c r="AG16" s="203"/>
      <c r="AH16" s="203"/>
      <c r="AI16" s="203"/>
      <c r="AJ16" s="203">
        <v>-79281286</v>
      </c>
      <c r="AK16" s="203"/>
      <c r="BQ16" s="295"/>
    </row>
    <row r="17" spans="2:69" s="228" customFormat="1">
      <c r="B17" s="296" t="s">
        <v>243</v>
      </c>
      <c r="C17" s="288"/>
      <c r="D17" s="288"/>
      <c r="E17" s="288"/>
      <c r="F17" s="288">
        <f>ROUND(SUM(F12:F16),-3)</f>
        <v>0</v>
      </c>
      <c r="G17" s="288"/>
      <c r="H17" s="288"/>
      <c r="I17" s="288"/>
      <c r="J17" s="288"/>
      <c r="K17" s="288">
        <f>ROUND(SUM(K12:K16),-3)</f>
        <v>13517000</v>
      </c>
      <c r="L17" s="288"/>
      <c r="M17" s="288"/>
      <c r="N17" s="288"/>
      <c r="O17" s="288"/>
      <c r="P17" s="288">
        <f>ROUND(SUM(P12:P16),-3)</f>
        <v>10478000</v>
      </c>
      <c r="Q17" s="288"/>
      <c r="R17" s="288"/>
      <c r="S17" s="288"/>
      <c r="T17" s="288"/>
      <c r="U17" s="288">
        <f>ROUND(SUM(U12:U16),-3)</f>
        <v>42956000</v>
      </c>
      <c r="V17" s="288"/>
      <c r="W17" s="288"/>
      <c r="X17" s="288"/>
      <c r="Y17" s="288"/>
      <c r="Z17" s="288">
        <f>ROUND(SUM(Z12:Z16),-3)</f>
        <v>46861000</v>
      </c>
      <c r="AA17" s="288"/>
      <c r="AB17" s="288"/>
      <c r="AC17" s="288"/>
      <c r="AD17" s="288"/>
      <c r="AE17" s="288">
        <f>ROUND(SUM(AE12:AE16),-3)</f>
        <v>50766000</v>
      </c>
      <c r="AF17" s="288"/>
      <c r="AG17" s="288"/>
      <c r="AH17" s="288"/>
      <c r="AI17" s="288"/>
      <c r="AJ17" s="288">
        <f>ROUND(SUM(AJ12:AJ16),-3)</f>
        <v>54672000</v>
      </c>
      <c r="AK17" s="288"/>
      <c r="BQ17" s="295"/>
    </row>
    <row r="18" spans="2:69">
      <c r="B18" s="191" t="s">
        <v>1291</v>
      </c>
      <c r="C18" s="192"/>
      <c r="D18" s="192"/>
      <c r="E18" s="192"/>
      <c r="F18" s="192">
        <f>F8-F17</f>
        <v>0</v>
      </c>
      <c r="G18" s="192"/>
      <c r="H18" s="192"/>
      <c r="I18" s="192"/>
      <c r="J18" s="192"/>
      <c r="K18" s="192">
        <f>K8-K17</f>
        <v>0</v>
      </c>
      <c r="L18" s="192"/>
      <c r="M18" s="192"/>
      <c r="N18" s="192"/>
      <c r="O18" s="192"/>
      <c r="P18" s="192">
        <f>P8-P17</f>
        <v>0</v>
      </c>
      <c r="Q18" s="192"/>
      <c r="R18" s="192"/>
      <c r="S18" s="192"/>
      <c r="T18" s="192"/>
      <c r="U18" s="192">
        <f>U8-U17</f>
        <v>655.89999999850988</v>
      </c>
      <c r="V18" s="192"/>
      <c r="W18" s="192"/>
      <c r="X18" s="192"/>
      <c r="Y18" s="192"/>
      <c r="Z18" s="192">
        <f>Z8-Z17</f>
        <v>770.60000000149012</v>
      </c>
      <c r="AA18" s="192"/>
      <c r="AB18" s="192"/>
      <c r="AC18" s="192"/>
      <c r="AD18" s="192"/>
      <c r="AE18" s="192">
        <f>AE8-AE17</f>
        <v>885.29999999701977</v>
      </c>
      <c r="AF18" s="192"/>
      <c r="AG18" s="192"/>
      <c r="AH18" s="192"/>
      <c r="AI18" s="192"/>
      <c r="AJ18" s="192">
        <f>AJ8-AJ17</f>
        <v>0</v>
      </c>
      <c r="AK18" s="192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E18" s="293"/>
      <c r="BF18" s="294"/>
      <c r="BG18" s="293"/>
      <c r="BI18" s="293"/>
      <c r="BJ18" s="294"/>
      <c r="BK18" s="294"/>
      <c r="BN18" s="294"/>
      <c r="BQ18" s="292"/>
    </row>
    <row r="19" spans="2:69">
      <c r="BP19" s="292"/>
    </row>
    <row r="20" spans="2:69">
      <c r="BP20" s="292"/>
    </row>
    <row r="22" spans="2:69">
      <c r="AE22" s="299"/>
      <c r="AF22" s="299"/>
      <c r="BD22" s="299"/>
      <c r="BE22" s="299"/>
      <c r="BH22" s="299"/>
      <c r="BI22" s="299"/>
      <c r="BM22" s="299"/>
    </row>
    <row r="23" spans="2:69">
      <c r="AE23" s="292"/>
      <c r="AF23" s="292"/>
      <c r="BD23" s="292"/>
      <c r="BE23" s="292"/>
      <c r="BH23" s="292"/>
      <c r="BI23" s="292"/>
      <c r="BM23" s="292"/>
    </row>
  </sheetData>
  <mergeCells count="14">
    <mergeCell ref="C3:G3"/>
    <mergeCell ref="B3:B4"/>
    <mergeCell ref="H3:L3"/>
    <mergeCell ref="M3:Q3"/>
    <mergeCell ref="R3:V3"/>
    <mergeCell ref="BF3:BI3"/>
    <mergeCell ref="BJ3:BM3"/>
    <mergeCell ref="BA3:BE3"/>
    <mergeCell ref="AG3:AK3"/>
    <mergeCell ref="W3:AA3"/>
    <mergeCell ref="AB3:AF3"/>
    <mergeCell ref="AL3:AP3"/>
    <mergeCell ref="AQ3:AU3"/>
    <mergeCell ref="AV3:AZ3"/>
  </mergeCells>
  <conditionalFormatting sqref="H2">
    <cfRule type="cellIs" dxfId="9" priority="4" operator="lessThan">
      <formula>0</formula>
    </cfRule>
  </conditionalFormatting>
  <conditionalFormatting sqref="R2 W2 AB2 AG2 AL2 AQ2 AV2 BA2 BF2 BJ2">
    <cfRule type="cellIs" dxfId="8" priority="2" operator="lessThan">
      <formula>0</formula>
    </cfRule>
  </conditionalFormatting>
  <conditionalFormatting sqref="M2">
    <cfRule type="cellIs" dxfId="7" priority="3" operator="lessThan">
      <formula>0</formula>
    </cfRule>
  </conditionalFormatting>
  <conditionalFormatting sqref="C2">
    <cfRule type="cellIs" dxfId="6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J6 K6 P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9F0C-68C0-4C7E-A145-90D60928E38C}">
  <sheetPr codeName="Planilha32">
    <tabColor rgb="FFFF0000"/>
  </sheetPr>
  <dimension ref="B1:K13"/>
  <sheetViews>
    <sheetView showGridLines="0" zoomScaleNormal="100" workbookViewId="0">
      <selection activeCell="B3" sqref="B3:Q8"/>
    </sheetView>
  </sheetViews>
  <sheetFormatPr defaultRowHeight="12" outlineLevelCol="1"/>
  <cols>
    <col min="1" max="1" width="1.7109375" style="285" customWidth="1"/>
    <col min="2" max="2" width="49.7109375" style="285" customWidth="1"/>
    <col min="3" max="3" width="33.7109375" style="285" hidden="1" customWidth="1" outlineLevel="1"/>
    <col min="4" max="4" width="12.7109375" style="285" customWidth="1" collapsed="1"/>
    <col min="5" max="5" width="12.7109375" style="285" customWidth="1"/>
    <col min="6" max="10" width="12.7109375" style="285" hidden="1" customWidth="1" outlineLevel="1"/>
    <col min="11" max="11" width="4.5703125" style="285" customWidth="1" collapsed="1"/>
    <col min="12" max="16384" width="9.140625" style="285"/>
  </cols>
  <sheetData>
    <row r="1" spans="2:10" s="228" customFormat="1"/>
    <row r="2" spans="2:10" s="228" customFormat="1">
      <c r="B2" s="286"/>
      <c r="C2" s="286"/>
      <c r="D2" s="310">
        <v>44012</v>
      </c>
      <c r="E2" s="310">
        <v>43830</v>
      </c>
      <c r="F2" s="310">
        <v>43921</v>
      </c>
      <c r="G2" s="310">
        <v>43738</v>
      </c>
      <c r="H2" s="310">
        <v>43644</v>
      </c>
      <c r="I2" s="310">
        <v>43553</v>
      </c>
      <c r="J2" s="310">
        <v>43465</v>
      </c>
    </row>
    <row r="3" spans="2:10" s="228" customFormat="1" ht="30" customHeight="1">
      <c r="B3" s="284" t="s">
        <v>1329</v>
      </c>
      <c r="C3" s="368" t="s">
        <v>248</v>
      </c>
      <c r="D3" s="301">
        <v>44012</v>
      </c>
      <c r="E3" s="301">
        <v>43830</v>
      </c>
      <c r="F3" s="301">
        <v>43921</v>
      </c>
      <c r="G3" s="301">
        <v>43738</v>
      </c>
      <c r="H3" s="301">
        <v>43646</v>
      </c>
      <c r="I3" s="301">
        <v>43555</v>
      </c>
      <c r="J3" s="301">
        <v>43465</v>
      </c>
    </row>
    <row r="4" spans="2:10" s="228" customFormat="1" ht="18" customHeight="1">
      <c r="B4" s="289" t="s">
        <v>1328</v>
      </c>
      <c r="C4" s="311" t="s">
        <v>1294</v>
      </c>
      <c r="D4" s="274">
        <v>0</v>
      </c>
      <c r="E4" s="274">
        <v>-40550000</v>
      </c>
      <c r="F4" s="274">
        <v>-36362000</v>
      </c>
      <c r="G4" s="274">
        <v>-11977000</v>
      </c>
      <c r="H4" s="274">
        <v>-11977000</v>
      </c>
      <c r="I4" s="274">
        <v>-11977000</v>
      </c>
      <c r="J4" s="274">
        <v>-11977000</v>
      </c>
    </row>
    <row r="5" spans="2:10" s="228" customFormat="1" ht="18" customHeight="1">
      <c r="B5" s="312" t="s">
        <v>1327</v>
      </c>
      <c r="C5" s="315" t="s">
        <v>1296</v>
      </c>
      <c r="D5" s="313">
        <v>0</v>
      </c>
      <c r="E5" s="313">
        <v>-79281000</v>
      </c>
      <c r="F5" s="313">
        <v>-79281000</v>
      </c>
      <c r="G5" s="313">
        <v>-79281000</v>
      </c>
      <c r="H5" s="313">
        <v>-79281000</v>
      </c>
      <c r="I5" s="313">
        <v>-79281000</v>
      </c>
      <c r="J5" s="313">
        <v>-79281000</v>
      </c>
    </row>
    <row r="6" spans="2:10" s="228" customFormat="1" ht="18" customHeight="1">
      <c r="B6" s="352" t="s">
        <v>243</v>
      </c>
      <c r="C6" s="388" t="s">
        <v>601</v>
      </c>
      <c r="D6" s="314">
        <f>SUM(D4:D5)</f>
        <v>0</v>
      </c>
      <c r="E6" s="314">
        <f>SUM(E4:E5)</f>
        <v>-119831000</v>
      </c>
      <c r="F6" s="314">
        <f>SUM(F4:F5)</f>
        <v>-115643000</v>
      </c>
      <c r="G6" s="314">
        <f t="shared" ref="G6:I6" si="0">SUM(G4:G5)</f>
        <v>-91258000</v>
      </c>
      <c r="H6" s="314">
        <f t="shared" si="0"/>
        <v>-91258000</v>
      </c>
      <c r="I6" s="314">
        <f t="shared" si="0"/>
        <v>-91258000</v>
      </c>
      <c r="J6" s="314">
        <f>SUM(J4:J5)</f>
        <v>-91258000</v>
      </c>
    </row>
    <row r="7" spans="2:10" s="228" customFormat="1"/>
    <row r="8" spans="2:10" s="228" customFormat="1"/>
    <row r="9" spans="2:10" s="228" customFormat="1">
      <c r="B9" s="190" t="s">
        <v>1238</v>
      </c>
      <c r="C9" s="201"/>
      <c r="D9" s="201"/>
      <c r="E9" s="201"/>
      <c r="F9" s="201"/>
      <c r="G9" s="201"/>
      <c r="H9" s="201"/>
      <c r="I9" s="201"/>
      <c r="J9" s="201"/>
    </row>
    <row r="10" spans="2:10" s="228" customFormat="1">
      <c r="B10" s="202" t="s">
        <v>1330</v>
      </c>
      <c r="C10" s="203" t="s">
        <v>1160</v>
      </c>
      <c r="D10" s="203">
        <v>0</v>
      </c>
      <c r="E10" s="203">
        <v>-40550000</v>
      </c>
      <c r="F10" s="203">
        <v>-36362000</v>
      </c>
      <c r="G10" s="203">
        <v>-11977000</v>
      </c>
      <c r="H10" s="203">
        <v>-11977000</v>
      </c>
      <c r="I10" s="203">
        <v>-11977000</v>
      </c>
      <c r="J10" s="203">
        <v>-11977000</v>
      </c>
    </row>
    <row r="11" spans="2:10" s="228" customFormat="1">
      <c r="B11" s="202" t="s">
        <v>1021</v>
      </c>
      <c r="C11" s="203" t="s">
        <v>1160</v>
      </c>
      <c r="D11" s="203">
        <v>0</v>
      </c>
      <c r="E11" s="203">
        <v>-79281000</v>
      </c>
      <c r="F11" s="203">
        <v>-79281000</v>
      </c>
      <c r="G11" s="203">
        <v>-79281000</v>
      </c>
      <c r="H11" s="203">
        <v>-79281000</v>
      </c>
      <c r="I11" s="203">
        <v>-79281000</v>
      </c>
      <c r="J11" s="203">
        <v>-79281000</v>
      </c>
    </row>
    <row r="12" spans="2:10" s="228" customFormat="1">
      <c r="B12" s="296" t="s">
        <v>243</v>
      </c>
      <c r="C12" s="288"/>
      <c r="D12" s="288">
        <f>D10+D11</f>
        <v>0</v>
      </c>
      <c r="E12" s="288">
        <f>E10+E11</f>
        <v>-119831000</v>
      </c>
      <c r="F12" s="288">
        <f>F10+F11</f>
        <v>-115643000</v>
      </c>
      <c r="G12" s="288">
        <f t="shared" ref="G12:I12" si="1">G10+G11</f>
        <v>-91258000</v>
      </c>
      <c r="H12" s="288">
        <f t="shared" si="1"/>
        <v>-91258000</v>
      </c>
      <c r="I12" s="288">
        <f t="shared" si="1"/>
        <v>-91258000</v>
      </c>
      <c r="J12" s="288">
        <f>J10+J11</f>
        <v>-91258000</v>
      </c>
    </row>
    <row r="13" spans="2:10">
      <c r="B13" s="191" t="s">
        <v>1291</v>
      </c>
      <c r="C13" s="192"/>
      <c r="D13" s="192">
        <f t="shared" ref="D13:J13" si="2">D6-D12</f>
        <v>0</v>
      </c>
      <c r="E13" s="192">
        <f t="shared" si="2"/>
        <v>0</v>
      </c>
      <c r="F13" s="192">
        <f t="shared" ref="F13" si="3">F6-F12</f>
        <v>0</v>
      </c>
      <c r="G13" s="192">
        <f>G6-G12</f>
        <v>0</v>
      </c>
      <c r="H13" s="192">
        <f t="shared" si="2"/>
        <v>0</v>
      </c>
      <c r="I13" s="192">
        <f t="shared" si="2"/>
        <v>0</v>
      </c>
      <c r="J13" s="192">
        <f t="shared" si="2"/>
        <v>0</v>
      </c>
    </row>
  </sheetData>
  <conditionalFormatting sqref="B6:C6">
    <cfRule type="cellIs" dxfId="5" priority="58" operator="lessThan">
      <formula>0</formula>
    </cfRule>
  </conditionalFormatting>
  <conditionalFormatting sqref="J2">
    <cfRule type="cellIs" dxfId="4" priority="4" operator="lessThan">
      <formula>0</formula>
    </cfRule>
  </conditionalFormatting>
  <conditionalFormatting sqref="E2">
    <cfRule type="cellIs" dxfId="3" priority="5" operator="lessThan">
      <formula>0</formula>
    </cfRule>
  </conditionalFormatting>
  <conditionalFormatting sqref="D2">
    <cfRule type="cellIs" dxfId="2" priority="3" operator="lessThan">
      <formula>0</formula>
    </cfRule>
  </conditionalFormatting>
  <conditionalFormatting sqref="G2:I2">
    <cfRule type="cellIs" dxfId="1" priority="2" operator="lessThan">
      <formula>0</formula>
    </cfRule>
  </conditionalFormatting>
  <conditionalFormatting sqref="F2">
    <cfRule type="cellIs" dxfId="0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5"/>
  <dimension ref="B1:L35"/>
  <sheetViews>
    <sheetView showGridLines="0" topLeftCell="A10" zoomScale="115" zoomScaleNormal="115" workbookViewId="0">
      <selection activeCell="E39" sqref="E39"/>
    </sheetView>
  </sheetViews>
  <sheetFormatPr defaultRowHeight="12.75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>
      <c r="B1" s="5"/>
      <c r="C1" s="5"/>
      <c r="D1" s="9"/>
      <c r="E1" s="9"/>
    </row>
    <row r="2" spans="2:6" ht="15">
      <c r="B2" s="54" t="s">
        <v>248</v>
      </c>
      <c r="C2" s="55"/>
      <c r="D2" s="53">
        <v>2016</v>
      </c>
      <c r="E2" s="53">
        <v>2015</v>
      </c>
      <c r="F2" s="9"/>
    </row>
    <row r="3" spans="2:6">
      <c r="B3" s="149" t="s">
        <v>1004</v>
      </c>
      <c r="C3" s="149"/>
      <c r="D3" s="150" t="e">
        <f>DRE!#REF!</f>
        <v>#REF!</v>
      </c>
      <c r="E3" s="150">
        <v>528334</v>
      </c>
      <c r="F3" s="4"/>
    </row>
    <row r="4" spans="2:6">
      <c r="B4" s="39" t="s">
        <v>1003</v>
      </c>
      <c r="C4" s="39"/>
      <c r="D4" s="41">
        <v>0</v>
      </c>
      <c r="E4" s="41">
        <v>-457720</v>
      </c>
      <c r="F4" s="4"/>
    </row>
    <row r="5" spans="2:6">
      <c r="B5" s="149" t="s">
        <v>1005</v>
      </c>
      <c r="C5" s="149"/>
      <c r="D5" s="150" t="e">
        <f>D3</f>
        <v>#REF!</v>
      </c>
      <c r="E5" s="150">
        <v>70614</v>
      </c>
      <c r="F5" s="4"/>
    </row>
    <row r="6" spans="2:6">
      <c r="B6" s="39" t="s">
        <v>985</v>
      </c>
      <c r="C6" s="39"/>
      <c r="D6" s="41">
        <v>0</v>
      </c>
      <c r="E6" s="41">
        <v>-1313</v>
      </c>
      <c r="F6" s="4"/>
    </row>
    <row r="7" spans="2:6">
      <c r="B7" s="39" t="s">
        <v>267</v>
      </c>
      <c r="C7" s="39"/>
      <c r="D7" s="41">
        <v>0</v>
      </c>
      <c r="E7" s="41">
        <v>-3465</v>
      </c>
      <c r="F7" s="4"/>
    </row>
    <row r="8" spans="2:6">
      <c r="B8" s="39" t="s">
        <v>608</v>
      </c>
      <c r="C8" s="39"/>
      <c r="D8" s="41">
        <v>0</v>
      </c>
      <c r="E8" s="41">
        <f>E5+E6+E7</f>
        <v>65836</v>
      </c>
    </row>
    <row r="9" spans="2:6">
      <c r="B9" s="39" t="s">
        <v>609</v>
      </c>
      <c r="C9" s="39"/>
      <c r="D9" s="41">
        <f>0.25*D8</f>
        <v>0</v>
      </c>
      <c r="E9" s="41">
        <f>0.25*E8</f>
        <v>16459</v>
      </c>
    </row>
    <row r="10" spans="2:6" s="76" customFormat="1"/>
    <row r="11" spans="2:6" s="76" customFormat="1"/>
    <row r="12" spans="2:6" s="76" customFormat="1"/>
    <row r="13" spans="2:6">
      <c r="B13" s="164" t="s">
        <v>248</v>
      </c>
      <c r="C13" s="172">
        <v>2017</v>
      </c>
      <c r="D13" s="173">
        <v>2016</v>
      </c>
    </row>
    <row r="14" spans="2:6" ht="13.5" customHeight="1">
      <c r="B14" s="174" t="s">
        <v>1004</v>
      </c>
      <c r="C14" s="175">
        <v>46251</v>
      </c>
      <c r="D14" s="175" t="e">
        <f>DRE!#REF!</f>
        <v>#REF!</v>
      </c>
    </row>
    <row r="15" spans="2:6" ht="13.5" hidden="1" customHeight="1">
      <c r="B15" s="39" t="s">
        <v>1003</v>
      </c>
      <c r="C15" s="41"/>
      <c r="D15" s="41">
        <v>0</v>
      </c>
    </row>
    <row r="16" spans="2:6" s="76" customFormat="1" hidden="1">
      <c r="B16" s="149" t="s">
        <v>1005</v>
      </c>
      <c r="C16" s="150"/>
      <c r="D16" s="150" t="e">
        <f>D14</f>
        <v>#REF!</v>
      </c>
    </row>
    <row r="17" spans="2:12" s="76" customFormat="1" hidden="1">
      <c r="B17" s="39" t="s">
        <v>985</v>
      </c>
      <c r="C17" s="41" t="s">
        <v>242</v>
      </c>
      <c r="D17" s="41">
        <v>0</v>
      </c>
    </row>
    <row r="18" spans="2:12" s="76" customFormat="1" ht="12.75" customHeight="1">
      <c r="B18" s="39" t="s">
        <v>267</v>
      </c>
      <c r="C18" s="41">
        <v>0</v>
      </c>
      <c r="D18" s="41">
        <v>0</v>
      </c>
      <c r="E18" s="160"/>
      <c r="F18" s="160"/>
      <c r="G18" s="160"/>
      <c r="H18" s="160"/>
      <c r="I18" s="160"/>
      <c r="J18" s="160"/>
      <c r="K18" s="160"/>
      <c r="L18" s="160"/>
    </row>
    <row r="19" spans="2:12" s="76" customFormat="1">
      <c r="B19" s="39" t="s">
        <v>608</v>
      </c>
      <c r="C19" s="41">
        <v>0</v>
      </c>
      <c r="D19" s="41">
        <v>0</v>
      </c>
      <c r="E19" s="160"/>
      <c r="F19" s="160"/>
      <c r="G19" s="160"/>
      <c r="H19" s="160"/>
      <c r="I19" s="160"/>
      <c r="J19" s="160"/>
      <c r="K19" s="160"/>
      <c r="L19" s="160"/>
    </row>
    <row r="20" spans="2:12" s="76" customFormat="1">
      <c r="B20" s="39" t="s">
        <v>609</v>
      </c>
      <c r="C20" s="41">
        <v>0</v>
      </c>
      <c r="D20" s="41">
        <f>0.25*D19</f>
        <v>0</v>
      </c>
      <c r="E20" s="160"/>
      <c r="F20" s="160"/>
      <c r="G20" s="160"/>
      <c r="H20" s="160"/>
      <c r="I20" s="160"/>
      <c r="J20" s="160"/>
      <c r="K20" s="160"/>
      <c r="L20" s="160"/>
    </row>
    <row r="21" spans="2:12" s="76" customFormat="1"/>
    <row r="22" spans="2:12" s="76" customFormat="1"/>
    <row r="23" spans="2:12" s="76" customFormat="1"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</row>
    <row r="24" spans="2:12" s="76" customFormat="1"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</row>
    <row r="25" spans="2:12" s="76" customFormat="1"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</row>
    <row r="26" spans="2:12" s="37" customFormat="1"/>
    <row r="27" spans="2:12" s="37" customFormat="1"/>
    <row r="28" spans="2:12" s="124" customFormat="1"/>
    <row r="29" spans="2:12" s="124" customFormat="1">
      <c r="I29" s="159"/>
    </row>
    <row r="30" spans="2:12" s="124" customFormat="1">
      <c r="I30" s="159">
        <v>7244</v>
      </c>
    </row>
    <row r="31" spans="2:12" s="124" customFormat="1">
      <c r="I31" s="159">
        <v>1313</v>
      </c>
    </row>
    <row r="32" spans="2:12" s="124" customFormat="1"/>
    <row r="33" s="124" customFormat="1"/>
    <row r="34" s="124" customFormat="1"/>
    <row r="35" s="124" customFormat="1"/>
  </sheetData>
  <mergeCells count="1">
    <mergeCell ref="B23:L25"/>
  </mergeCells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6"/>
  <dimension ref="A2:AB49"/>
  <sheetViews>
    <sheetView zoomScale="130" zoomScaleNormal="130" workbookViewId="0">
      <selection activeCell="C2" sqref="C2:E11"/>
    </sheetView>
  </sheetViews>
  <sheetFormatPr defaultRowHeight="12.75"/>
  <cols>
    <col min="1" max="2" width="9.140625" style="93"/>
    <col min="3" max="3" width="39.7109375" bestFit="1" customWidth="1"/>
    <col min="4" max="5" width="10.7109375" customWidth="1"/>
    <col min="6" max="6" width="10.7109375" hidden="1" customWidth="1"/>
    <col min="7" max="7" width="13" style="93" bestFit="1" customWidth="1"/>
    <col min="8" max="28" width="9.140625" style="93"/>
  </cols>
  <sheetData>
    <row r="2" spans="1:7">
      <c r="C2" s="165" t="s">
        <v>1002</v>
      </c>
      <c r="D2" s="185" t="s">
        <v>1225</v>
      </c>
      <c r="E2" s="168" t="s">
        <v>1226</v>
      </c>
      <c r="F2" s="53">
        <v>2015</v>
      </c>
    </row>
    <row r="3" spans="1:7">
      <c r="A3" s="109" t="s">
        <v>186</v>
      </c>
      <c r="C3" s="169" t="s">
        <v>256</v>
      </c>
      <c r="D3" s="40">
        <f>D4+D5</f>
        <v>2821931</v>
      </c>
      <c r="E3" s="40">
        <v>2903635.6965699997</v>
      </c>
      <c r="F3" s="40">
        <v>1201233</v>
      </c>
      <c r="G3" s="95"/>
    </row>
    <row r="4" spans="1:7">
      <c r="A4" s="109" t="s">
        <v>327</v>
      </c>
      <c r="C4" s="166" t="s">
        <v>605</v>
      </c>
      <c r="D4" s="41">
        <v>4000000</v>
      </c>
      <c r="E4" s="41">
        <v>4000000</v>
      </c>
      <c r="F4" s="41">
        <v>4000000</v>
      </c>
    </row>
    <row r="5" spans="1:7">
      <c r="A5" s="109" t="s">
        <v>193</v>
      </c>
      <c r="C5" s="166" t="s">
        <v>606</v>
      </c>
      <c r="D5" s="41">
        <v>-1178069</v>
      </c>
      <c r="E5" s="41">
        <v>-1096364.3034300001</v>
      </c>
      <c r="F5" s="41">
        <v>-2798767</v>
      </c>
      <c r="G5" s="111"/>
    </row>
    <row r="6" spans="1:7">
      <c r="C6" s="169" t="s">
        <v>257</v>
      </c>
      <c r="D6" s="40">
        <f>D7</f>
        <v>143363</v>
      </c>
      <c r="E6" s="40">
        <v>143363</v>
      </c>
      <c r="F6" s="40">
        <v>1411356</v>
      </c>
      <c r="G6" s="111"/>
    </row>
    <row r="7" spans="1:7">
      <c r="C7" s="166" t="s">
        <v>607</v>
      </c>
      <c r="D7" s="41">
        <v>143363</v>
      </c>
      <c r="E7" s="41">
        <v>143363</v>
      </c>
      <c r="F7" s="41">
        <v>1411356</v>
      </c>
    </row>
    <row r="8" spans="1:7" hidden="1">
      <c r="C8" s="166" t="s">
        <v>267</v>
      </c>
      <c r="D8" s="41">
        <v>0</v>
      </c>
      <c r="E8" s="41">
        <v>110409</v>
      </c>
      <c r="F8" s="41">
        <v>147602</v>
      </c>
    </row>
    <row r="9" spans="1:7" hidden="1">
      <c r="C9" s="166" t="s">
        <v>1121</v>
      </c>
      <c r="D9" s="41">
        <v>0</v>
      </c>
      <c r="E9" s="41">
        <v>32954</v>
      </c>
      <c r="F9" s="41">
        <v>1263754</v>
      </c>
    </row>
    <row r="10" spans="1:7">
      <c r="C10" s="170" t="s">
        <v>610</v>
      </c>
      <c r="D10" s="40">
        <v>244882</v>
      </c>
      <c r="E10" s="40">
        <v>389196</v>
      </c>
      <c r="F10" s="40">
        <v>318889</v>
      </c>
    </row>
    <row r="11" spans="1:7">
      <c r="C11" s="165" t="s">
        <v>243</v>
      </c>
      <c r="D11" s="148">
        <f>D3+D6+D10</f>
        <v>3210176</v>
      </c>
      <c r="E11" s="148">
        <v>3436194.6965699997</v>
      </c>
      <c r="F11" s="148">
        <v>2931478</v>
      </c>
      <c r="G11" s="100"/>
    </row>
    <row r="12" spans="1:7" s="93" customFormat="1">
      <c r="C12" s="61"/>
      <c r="D12" s="61"/>
    </row>
    <row r="13" spans="1:7" s="93" customFormat="1"/>
    <row r="14" spans="1:7" s="93" customFormat="1"/>
    <row r="15" spans="1:7" s="93" customFormat="1"/>
    <row r="16" spans="1:7" s="93" customFormat="1"/>
    <row r="17" spans="3:7" s="93" customFormat="1"/>
    <row r="18" spans="3:7" s="93" customFormat="1"/>
    <row r="19" spans="3:7" s="93" customFormat="1"/>
    <row r="20" spans="3:7" s="93" customFormat="1">
      <c r="C20" s="158" t="s">
        <v>600</v>
      </c>
      <c r="D20" s="167"/>
      <c r="E20" s="35" t="e">
        <f>IF(E3=BP!#REF!,"Sim","Não")</f>
        <v>#REF!</v>
      </c>
    </row>
    <row r="21" spans="3:7" s="93" customFormat="1">
      <c r="C21" s="158" t="s">
        <v>687</v>
      </c>
      <c r="D21" s="167"/>
      <c r="E21" s="35" t="s">
        <v>688</v>
      </c>
    </row>
    <row r="22" spans="3:7" s="93" customFormat="1"/>
    <row r="23" spans="3:7" s="93" customFormat="1"/>
    <row r="24" spans="3:7" s="93" customFormat="1"/>
    <row r="25" spans="3:7" s="93" customFormat="1"/>
    <row r="26" spans="3:7" s="93" customFormat="1"/>
    <row r="27" spans="3:7" s="93" customFormat="1"/>
    <row r="28" spans="3:7" s="93" customFormat="1"/>
    <row r="29" spans="3:7" s="93" customFormat="1"/>
    <row r="30" spans="3:7" s="93" customFormat="1"/>
    <row r="31" spans="3:7" s="93" customFormat="1"/>
    <row r="32" spans="3:7" s="93" customFormat="1">
      <c r="G32" s="109"/>
    </row>
    <row r="33" s="93" customFormat="1"/>
    <row r="34" s="93" customFormat="1"/>
    <row r="35" s="93" customFormat="1"/>
    <row r="36" s="93" customFormat="1"/>
    <row r="37" s="93" customFormat="1"/>
    <row r="38" s="93" customFormat="1"/>
    <row r="39" s="93" customFormat="1"/>
    <row r="40" s="93" customFormat="1"/>
    <row r="41" s="93" customFormat="1"/>
    <row r="42" s="93" customFormat="1"/>
    <row r="43" s="93" customFormat="1"/>
    <row r="44" s="93" customFormat="1"/>
    <row r="45" s="93" customFormat="1"/>
    <row r="46" s="93" customFormat="1"/>
    <row r="47" s="93" customFormat="1"/>
    <row r="48" s="93" customFormat="1"/>
    <row r="49" s="93" customFormat="1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8"/>
  <dimension ref="B2:I24"/>
  <sheetViews>
    <sheetView showGridLines="0" zoomScale="130" zoomScaleNormal="130" workbookViewId="0">
      <selection activeCell="N22" sqref="N22"/>
    </sheetView>
  </sheetViews>
  <sheetFormatPr defaultRowHeight="12.75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>
      <c r="B2" s="52" t="s">
        <v>248</v>
      </c>
      <c r="C2" s="500">
        <v>2017</v>
      </c>
      <c r="D2" s="500"/>
      <c r="E2" s="500">
        <v>2016</v>
      </c>
      <c r="F2" s="500"/>
      <c r="G2" s="500">
        <v>2015</v>
      </c>
      <c r="H2" s="500"/>
    </row>
    <row r="3" spans="2:9">
      <c r="B3" s="42" t="s">
        <v>252</v>
      </c>
      <c r="C3" s="43" t="s">
        <v>262</v>
      </c>
      <c r="D3" s="43" t="s">
        <v>263</v>
      </c>
      <c r="E3" s="43" t="s">
        <v>262</v>
      </c>
      <c r="F3" s="43" t="s">
        <v>263</v>
      </c>
      <c r="G3" s="43" t="s">
        <v>262</v>
      </c>
      <c r="H3" s="43" t="s">
        <v>263</v>
      </c>
    </row>
    <row r="4" spans="2:9">
      <c r="B4" s="39" t="s">
        <v>264</v>
      </c>
      <c r="C4" s="171">
        <v>0</v>
      </c>
      <c r="D4" s="171">
        <v>0</v>
      </c>
      <c r="E4" s="44">
        <v>50240</v>
      </c>
      <c r="F4" s="44">
        <v>26247</v>
      </c>
      <c r="G4" s="44">
        <v>47621</v>
      </c>
      <c r="H4" s="44">
        <v>36137</v>
      </c>
    </row>
    <row r="5" spans="2:9">
      <c r="B5" s="39" t="s">
        <v>265</v>
      </c>
      <c r="C5" s="171">
        <v>0</v>
      </c>
      <c r="D5" s="171">
        <v>0</v>
      </c>
      <c r="E5" s="44">
        <v>40821</v>
      </c>
      <c r="F5" s="44">
        <v>14984</v>
      </c>
      <c r="G5" s="44">
        <v>38693</v>
      </c>
      <c r="H5" s="44">
        <v>15151</v>
      </c>
      <c r="I5" s="51"/>
    </row>
    <row r="6" spans="2:9">
      <c r="B6" s="39" t="s">
        <v>266</v>
      </c>
      <c r="C6" s="171">
        <v>0</v>
      </c>
      <c r="D6" s="171">
        <v>0</v>
      </c>
      <c r="E6" s="44">
        <v>35588</v>
      </c>
      <c r="F6" s="44">
        <v>10968</v>
      </c>
      <c r="G6" s="44">
        <v>33732</v>
      </c>
      <c r="H6" s="44">
        <v>10155</v>
      </c>
    </row>
    <row r="10" spans="2:9" ht="15">
      <c r="B10" s="9"/>
      <c r="C10" s="9"/>
      <c r="D10" s="9"/>
    </row>
    <row r="11" spans="2:9" ht="15">
      <c r="B11" s="18"/>
      <c r="C11" s="18"/>
      <c r="D11" s="18"/>
      <c r="E11" s="15"/>
      <c r="F11" s="15"/>
    </row>
    <row r="12" spans="2:9" ht="14.25">
      <c r="B12" s="8"/>
      <c r="C12" s="8"/>
      <c r="D12" s="8"/>
      <c r="E12" s="11"/>
      <c r="F12" s="11"/>
    </row>
    <row r="13" spans="2:9" ht="14.25">
      <c r="B13" s="8"/>
      <c r="C13" s="8"/>
      <c r="D13" s="8"/>
      <c r="E13" s="11"/>
      <c r="F13" s="11"/>
    </row>
    <row r="14" spans="2:9" ht="14.25">
      <c r="B14" s="8"/>
      <c r="C14" s="8"/>
      <c r="D14" s="8"/>
      <c r="E14" s="11"/>
      <c r="F14" s="11"/>
    </row>
    <row r="15" spans="2:9" ht="14.25">
      <c r="B15" s="8"/>
      <c r="C15" s="8"/>
      <c r="D15" s="8"/>
      <c r="E15" s="11"/>
      <c r="F15" s="11"/>
    </row>
    <row r="16" spans="2:9" ht="14.25">
      <c r="B16" s="8"/>
      <c r="C16" s="8"/>
      <c r="D16" s="8"/>
      <c r="E16" s="11"/>
      <c r="F16" s="11"/>
    </row>
    <row r="17" spans="2:6" ht="14.25">
      <c r="B17" s="8"/>
      <c r="C17" s="8"/>
      <c r="D17" s="8"/>
      <c r="E17" s="11"/>
      <c r="F17" s="11"/>
    </row>
    <row r="18" spans="2:6" ht="14.25">
      <c r="B18" s="8"/>
      <c r="C18" s="8"/>
      <c r="D18" s="8"/>
      <c r="E18" s="11"/>
      <c r="F18" s="11"/>
    </row>
    <row r="19" spans="2:6" ht="14.25">
      <c r="B19" s="8"/>
      <c r="C19" s="8"/>
      <c r="D19" s="8"/>
      <c r="E19" s="11"/>
      <c r="F19" s="11"/>
    </row>
    <row r="20" spans="2:6" ht="14.25">
      <c r="B20" s="8"/>
      <c r="C20" s="8"/>
      <c r="D20" s="8"/>
      <c r="E20" s="11"/>
      <c r="F20" s="11"/>
    </row>
    <row r="21" spans="2:6" ht="14.25">
      <c r="B21" s="8"/>
      <c r="C21" s="8"/>
      <c r="D21" s="8"/>
      <c r="E21" s="11"/>
      <c r="F21" s="11"/>
    </row>
    <row r="22" spans="2:6" ht="14.25">
      <c r="B22" s="8"/>
      <c r="C22" s="8"/>
      <c r="D22" s="8"/>
      <c r="E22" s="11"/>
      <c r="F22" s="11"/>
    </row>
    <row r="23" spans="2:6" ht="14.25">
      <c r="B23" s="8"/>
      <c r="C23" s="8"/>
      <c r="D23" s="8"/>
      <c r="E23" s="11"/>
      <c r="F23" s="11"/>
    </row>
    <row r="24" spans="2:6" ht="14.25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9"/>
  <dimension ref="A1:C13"/>
  <sheetViews>
    <sheetView showGridLines="0" topLeftCell="A25" workbookViewId="0">
      <selection activeCell="B36" sqref="B36"/>
    </sheetView>
  </sheetViews>
  <sheetFormatPr defaultRowHeight="12.75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>
      <c r="A1" s="5"/>
      <c r="B1" s="13">
        <v>2013</v>
      </c>
      <c r="C1" s="13">
        <v>2012</v>
      </c>
    </row>
    <row r="2" spans="1:3" ht="15" hidden="1" customHeight="1">
      <c r="A2" s="10" t="s">
        <v>248</v>
      </c>
      <c r="B2" s="12"/>
      <c r="C2" s="12"/>
    </row>
    <row r="3" spans="1:3" ht="14.25" hidden="1" customHeight="1" thickBot="1">
      <c r="A3" s="8" t="s">
        <v>258</v>
      </c>
      <c r="B3" s="17" t="e">
        <f>SUM(B4:B6)</f>
        <v>#REF!</v>
      </c>
      <c r="C3" s="17">
        <v>6837.1592299999993</v>
      </c>
    </row>
    <row r="4" spans="1:3" ht="14.25" hidden="1" customHeight="1">
      <c r="A4" s="8" t="s">
        <v>259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>
      <c r="A5" s="8" t="s">
        <v>260</v>
      </c>
      <c r="B5" s="16">
        <f>1213000/1000</f>
        <v>1213</v>
      </c>
      <c r="C5" s="16">
        <v>5760.0953499999996</v>
      </c>
    </row>
    <row r="6" spans="1:3" ht="14.25" hidden="1" customHeight="1">
      <c r="A6" s="8" t="s">
        <v>331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/>
    <row r="8" spans="1:3" ht="15">
      <c r="A8" s="5"/>
      <c r="B8" s="14"/>
      <c r="C8" s="14"/>
    </row>
    <row r="9" spans="1:3" ht="15">
      <c r="A9" s="20" t="s">
        <v>248</v>
      </c>
      <c r="B9" s="23">
        <v>2013</v>
      </c>
      <c r="C9" s="23">
        <v>2012</v>
      </c>
    </row>
    <row r="10" spans="1:3" ht="14.25">
      <c r="A10" s="19" t="s">
        <v>250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>
      <c r="A11" s="19" t="s">
        <v>251</v>
      </c>
      <c r="B11" s="22">
        <f>1213000/1000</f>
        <v>1213</v>
      </c>
      <c r="C11" s="22">
        <v>5760.0953499999996</v>
      </c>
    </row>
    <row r="12" spans="1:3" ht="14.25">
      <c r="A12" s="19" t="s">
        <v>306</v>
      </c>
      <c r="B12" s="22" t="e">
        <f>SUMIF('Balancete 2015'!#REF!, "Diversas",'Balancete 2015'!D:D)/1000</f>
        <v>#REF!</v>
      </c>
      <c r="C12" s="22">
        <v>588.78769</v>
      </c>
    </row>
    <row r="13" spans="1:3" ht="15">
      <c r="A13" s="21" t="s">
        <v>307</v>
      </c>
      <c r="B13" s="24" t="e">
        <f>B10+B11+B12</f>
        <v>#REF!</v>
      </c>
      <c r="C13" s="24">
        <v>6837.1592299999993</v>
      </c>
    </row>
  </sheetData>
  <phoneticPr fontId="3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1º Trimestre 2021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CE3CA140-FF76-4F49-8378-65B543048B81}"/>
</file>

<file path=customXml/itemProps2.xml><?xml version="1.0" encoding="utf-8"?>
<ds:datastoreItem xmlns:ds="http://schemas.openxmlformats.org/officeDocument/2006/customXml" ds:itemID="{C0441925-6C46-4EBD-AD7A-F3C87F79FEA4}"/>
</file>

<file path=customXml/itemProps3.xml><?xml version="1.0" encoding="utf-8"?>
<ds:datastoreItem xmlns:ds="http://schemas.openxmlformats.org/officeDocument/2006/customXml" ds:itemID="{D24CB006-16CD-4280-9726-49C641E94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N2.1 cisão</vt:lpstr>
      <vt:lpstr>DMPL</vt:lpstr>
      <vt:lpstr>DFC</vt:lpstr>
      <vt:lpstr>DVA</vt:lpstr>
      <vt:lpstr>N5(e)</vt:lpstr>
      <vt:lpstr>N6(a)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1º Trimestre 2021 – arquivo editável</dc:title>
  <dc:creator>Administrador</dc:creator>
  <cp:lastModifiedBy>Evander Klimach Guimaraes</cp:lastModifiedBy>
  <cp:lastPrinted>2020-02-01T06:35:35Z</cp:lastPrinted>
  <dcterms:created xsi:type="dcterms:W3CDTF">2013-10-30T15:52:48Z</dcterms:created>
  <dcterms:modified xsi:type="dcterms:W3CDTF">2021-07-02T22:08:15Z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CORPCAIXA\c141943</vt:lpwstr>
  </property>
  <property fmtid="{D5CDD505-2E9C-101B-9397-08002B2CF9AE}" pid="4" name="DLPManualFileClassificationLastModificationDate">
    <vt:lpwstr>1582304985</vt:lpwstr>
  </property>
  <property fmtid="{D5CDD505-2E9C-101B-9397-08002B2CF9AE}" pid="5" name="DLPManualFileClassificationVersion">
    <vt:lpwstr>11.4.0.45</vt:lpwstr>
  </property>
  <property fmtid="{D5CDD505-2E9C-101B-9397-08002B2CF9AE}" pid="6" name="MSIP_Label_f1a47ad8-907a-4afd-bc2a-6b2ee4f96f0c_Enabled">
    <vt:lpwstr>true</vt:lpwstr>
  </property>
  <property fmtid="{D5CDD505-2E9C-101B-9397-08002B2CF9AE}" pid="7" name="MSIP_Label_f1a47ad8-907a-4afd-bc2a-6b2ee4f96f0c_SetDate">
    <vt:lpwstr>2021-07-02T22:08:14Z</vt:lpwstr>
  </property>
  <property fmtid="{D5CDD505-2E9C-101B-9397-08002B2CF9AE}" pid="8" name="MSIP_Label_f1a47ad8-907a-4afd-bc2a-6b2ee4f96f0c_Method">
    <vt:lpwstr>Privileged</vt:lpwstr>
  </property>
  <property fmtid="{D5CDD505-2E9C-101B-9397-08002B2CF9AE}" pid="9" name="MSIP_Label_f1a47ad8-907a-4afd-bc2a-6b2ee4f96f0c_Name">
    <vt:lpwstr>#EXTERNO_CONFIDENCIAL</vt:lpwstr>
  </property>
  <property fmtid="{D5CDD505-2E9C-101B-9397-08002B2CF9AE}" pid="10" name="MSIP_Label_f1a47ad8-907a-4afd-bc2a-6b2ee4f96f0c_SiteId">
    <vt:lpwstr>ab9bba98-684a-43fb-add8-9c2bebede229</vt:lpwstr>
  </property>
  <property fmtid="{D5CDD505-2E9C-101B-9397-08002B2CF9AE}" pid="11" name="MSIP_Label_f1a47ad8-907a-4afd-bc2a-6b2ee4f96f0c_ActionId">
    <vt:lpwstr>fbd6c346-5962-4c6d-a7a0-f0e30f3dbb8d</vt:lpwstr>
  </property>
  <property fmtid="{D5CDD505-2E9C-101B-9397-08002B2CF9AE}" pid="12" name="MSIP_Label_f1a47ad8-907a-4afd-bc2a-6b2ee4f96f0c_ContentBits">
    <vt:lpwstr>3</vt:lpwstr>
  </property>
  <property fmtid="{D5CDD505-2E9C-101B-9397-08002B2CF9AE}" pid="13" name="ContentTypeId">
    <vt:lpwstr>0x010100CF76F4B785416546AF6C2D86C3CC016B005D01BA318CA0B74D97E7A6AFBDE9293C</vt:lpwstr>
  </property>
</Properties>
</file>